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ympicfence-my.sharepoint.com/personal/kirsty_olympicfencing_com_au/Documents/Desktop/"/>
    </mc:Choice>
  </mc:AlternateContent>
  <xr:revisionPtr revIDLastSave="1423" documentId="8_{B4D048AB-4418-4C1A-A03A-0FBB7FCA623E}" xr6:coauthVersionLast="47" xr6:coauthVersionMax="47" xr10:uidLastSave="{9AC750DF-C042-44A9-9522-AF5E3258A113}"/>
  <bookViews>
    <workbookView xWindow="-120" yWindow="-120" windowWidth="29040" windowHeight="15840" tabRatio="736" activeTab="3" xr2:uid="{00000000-000D-0000-FFFF-FFFF00000000}"/>
  </bookViews>
  <sheets>
    <sheet name="HOW TO" sheetId="25" r:id="rId1"/>
    <sheet name="SCHOOL GATE" sheetId="2" r:id="rId2"/>
    <sheet name="m18 act" sheetId="17" r:id="rId3"/>
    <sheet name="chain wire gates " sheetId="10" r:id="rId4"/>
    <sheet name="flat top new" sheetId="13" r:id="rId5"/>
    <sheet name="SLIDING&amp;CANT GATE" sheetId="3" r:id="rId6"/>
    <sheet name="BIG SLIDING&amp;CANT GATES" sheetId="7" r:id="rId7"/>
    <sheet name="TELESCOPIC" sheetId="26" r:id="rId8"/>
    <sheet name="002 EGRESS" sheetId="24" r:id="rId9"/>
    <sheet name="38x25" sheetId="23" r:id="rId10"/>
    <sheet name="colourbond" sheetId="21" r:id="rId11"/>
    <sheet name="358 corro gate" sheetId="19" r:id="rId12"/>
    <sheet name="rms type 5 " sheetId="29" r:id="rId13"/>
    <sheet name="RAKES" sheetId="6" r:id="rId14"/>
    <sheet name="pipe weight " sheetId="16" r:id="rId15"/>
    <sheet name="STOCK TAKE " sheetId="22" r:id="rId16"/>
    <sheet name="pipe pack saw" sheetId="27" r:id="rId17"/>
    <sheet name="interview " sheetId="28" r:id="rId18"/>
    <sheet name="weights" sheetId="5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0" l="1"/>
  <c r="F19" i="10"/>
  <c r="F6" i="10"/>
  <c r="F4" i="10" a="1"/>
  <c r="F4" i="10" s="1"/>
  <c r="G21" i="3"/>
  <c r="H7" i="29"/>
  <c r="H8" i="29"/>
  <c r="H9" i="29"/>
  <c r="H6" i="29"/>
  <c r="J10" i="29"/>
  <c r="J9" i="29"/>
  <c r="J8" i="29"/>
  <c r="C7" i="29"/>
  <c r="F7" i="29" s="1"/>
  <c r="C6" i="29"/>
  <c r="F6" i="29" s="1"/>
  <c r="F10" i="29"/>
  <c r="B10" i="29"/>
  <c r="F8" i="29"/>
  <c r="G8" i="29" s="1"/>
  <c r="B9" i="29"/>
  <c r="C9" i="29"/>
  <c r="F9" i="29" s="1"/>
  <c r="G9" i="29" s="1"/>
  <c r="C8" i="29"/>
  <c r="B8" i="29"/>
  <c r="B7" i="29"/>
  <c r="B6" i="29"/>
  <c r="L26" i="2" a="1"/>
  <c r="L26" i="2" s="1"/>
  <c r="L25" i="2" a="1"/>
  <c r="L25" i="2" s="1"/>
  <c r="F16" i="24"/>
  <c r="E6" i="27"/>
  <c r="C5" i="27"/>
  <c r="C4" i="27"/>
  <c r="E5" i="27"/>
  <c r="D4" i="27"/>
  <c r="F4" i="27" s="1"/>
  <c r="N8" i="24"/>
  <c r="N3" i="24"/>
  <c r="E4" i="26" a="1"/>
  <c r="E4" i="26" s="1"/>
  <c r="H4" i="26" s="1"/>
  <c r="K4" i="26" s="1" a="1"/>
  <c r="K4" i="26" s="1"/>
  <c r="J4" i="26"/>
  <c r="L4" i="26" s="1"/>
  <c r="I4" i="26" a="1"/>
  <c r="I4" i="26" s="1"/>
  <c r="G4" i="26" a="1"/>
  <c r="G4" i="26" s="1"/>
  <c r="E27" i="3"/>
  <c r="R8" i="24"/>
  <c r="J8" i="24"/>
  <c r="P8" i="24" s="1"/>
  <c r="M8" i="24" s="1"/>
  <c r="R3" i="24"/>
  <c r="J3" i="24"/>
  <c r="B13" i="24"/>
  <c r="E13" i="24" s="1" a="1"/>
  <c r="E13" i="24" s="1"/>
  <c r="F6" i="24"/>
  <c r="B4" i="24"/>
  <c r="F5" i="24" s="1" a="1"/>
  <c r="F5" i="24" s="1"/>
  <c r="F7" i="24" s="1"/>
  <c r="E4" i="24"/>
  <c r="E5" i="24" a="1"/>
  <c r="E5" i="24" s="1"/>
  <c r="E7" i="24"/>
  <c r="E14" i="24" a="1"/>
  <c r="E14" i="24" s="1"/>
  <c r="E17" i="24" a="1"/>
  <c r="E17" i="24" s="1"/>
  <c r="H9" i="23"/>
  <c r="H10" i="23"/>
  <c r="N5" i="23"/>
  <c r="D20" i="7"/>
  <c r="I20" i="7" s="1"/>
  <c r="F20" i="7" s="1"/>
  <c r="A25" i="7" s="1"/>
  <c r="H20" i="7"/>
  <c r="E20" i="7" s="1"/>
  <c r="E8" i="7"/>
  <c r="A8" i="7" s="1"/>
  <c r="M10" i="23"/>
  <c r="L10" i="23"/>
  <c r="K10" i="23"/>
  <c r="J10" i="23"/>
  <c r="I10" i="23"/>
  <c r="M9" i="23"/>
  <c r="L9" i="23"/>
  <c r="K9" i="23"/>
  <c r="J9" i="23"/>
  <c r="I9" i="23"/>
  <c r="J5" i="23"/>
  <c r="O5" i="23"/>
  <c r="L5" i="23"/>
  <c r="I5" i="23"/>
  <c r="C5" i="23"/>
  <c r="H5" i="23" s="1"/>
  <c r="G10" i="29" l="1"/>
  <c r="H10" i="29" s="1"/>
  <c r="J6" i="29"/>
  <c r="J7" i="29"/>
  <c r="G7" i="29"/>
  <c r="E7" i="27"/>
  <c r="H4" i="27"/>
  <c r="C25" i="7"/>
  <c r="E21" i="7"/>
  <c r="D25" i="7" s="1"/>
  <c r="P3" i="24"/>
  <c r="M3" i="24" s="1"/>
  <c r="F17" i="24" a="1"/>
  <c r="F17" i="24" s="1"/>
  <c r="E6" i="24" a="1"/>
  <c r="E6" i="24" s="1"/>
  <c r="E16" i="24" a="1"/>
  <c r="E16" i="24" s="1"/>
  <c r="E15" i="24" a="1"/>
  <c r="E15" i="24" s="1"/>
  <c r="K5" i="23"/>
  <c r="M5" i="23"/>
  <c r="G20" i="7"/>
  <c r="B25" i="7" s="1"/>
  <c r="C15" i="7"/>
  <c r="B23" i="10"/>
  <c r="E23" i="10" a="1"/>
  <c r="E23" i="10" s="1"/>
  <c r="E26" i="3"/>
  <c r="J26" i="3" s="1"/>
  <c r="I26" i="3"/>
  <c r="F26" i="3"/>
  <c r="I8" i="19"/>
  <c r="I14" i="19" s="1"/>
  <c r="G8" i="19"/>
  <c r="G14" i="19" s="1"/>
  <c r="J12" i="29" l="1"/>
  <c r="F25" i="7"/>
  <c r="G26" i="3"/>
  <c r="H26" i="3"/>
  <c r="I10" i="19"/>
  <c r="I12" i="19"/>
  <c r="G10" i="19"/>
  <c r="G12" i="19"/>
  <c r="A8" i="21" l="1"/>
  <c r="K4" i="21"/>
  <c r="I4" i="21"/>
  <c r="K5" i="21"/>
  <c r="I5" i="21"/>
  <c r="E5" i="21"/>
  <c r="H5" i="21" s="1"/>
  <c r="F5" i="21"/>
  <c r="G5" i="21"/>
  <c r="J5" i="21"/>
  <c r="G4" i="21"/>
  <c r="E4" i="21"/>
  <c r="B6" i="10"/>
  <c r="G7" i="10" s="1" a="1"/>
  <c r="G7" i="10" s="1"/>
  <c r="J4" i="21"/>
  <c r="F4" i="21"/>
  <c r="E14" i="19"/>
  <c r="K12" i="19"/>
  <c r="E12" i="19"/>
  <c r="Q7" i="19"/>
  <c r="Q6" i="19"/>
  <c r="O7" i="19"/>
  <c r="O6" i="19"/>
  <c r="M7" i="19"/>
  <c r="M6" i="19"/>
  <c r="K7" i="19"/>
  <c r="K6" i="19"/>
  <c r="Q8" i="19"/>
  <c r="Q12" i="19" s="1"/>
  <c r="O8" i="19"/>
  <c r="O10" i="19" s="1"/>
  <c r="M8" i="19"/>
  <c r="M12" i="19" s="1"/>
  <c r="K8" i="19"/>
  <c r="K14" i="19" s="1"/>
  <c r="E8" i="19"/>
  <c r="C8" i="19"/>
  <c r="C10" i="19" s="1"/>
  <c r="C6" i="19"/>
  <c r="E6" i="19"/>
  <c r="E7" i="19"/>
  <c r="C7" i="19"/>
  <c r="I18" i="17"/>
  <c r="I17" i="17"/>
  <c r="C18" i="17"/>
  <c r="C17" i="17"/>
  <c r="E13" i="7"/>
  <c r="A13" i="7" s="1"/>
  <c r="Q25" i="13"/>
  <c r="O25" i="13"/>
  <c r="E4" i="3" a="1"/>
  <c r="E4" i="3" s="1"/>
  <c r="M26" i="2"/>
  <c r="M25" i="2"/>
  <c r="N26" i="2"/>
  <c r="N25" i="2"/>
  <c r="J5" i="17"/>
  <c r="K5" i="17" s="1"/>
  <c r="L5" i="17" s="1"/>
  <c r="J6" i="17"/>
  <c r="K6" i="17" s="1"/>
  <c r="L6" i="17" s="1"/>
  <c r="J7" i="17"/>
  <c r="K7" i="17" s="1"/>
  <c r="L7" i="17" s="1"/>
  <c r="J8" i="17"/>
  <c r="K8" i="17" s="1"/>
  <c r="L8" i="17" s="1"/>
  <c r="J9" i="17"/>
  <c r="K9" i="17" s="1"/>
  <c r="L9" i="17" s="1"/>
  <c r="J10" i="17"/>
  <c r="K10" i="17" s="1"/>
  <c r="L10" i="17" s="1"/>
  <c r="J11" i="17"/>
  <c r="K11" i="17" s="1"/>
  <c r="L11" i="17" s="1"/>
  <c r="J12" i="17"/>
  <c r="K12" i="17" s="1"/>
  <c r="L12" i="17" s="1"/>
  <c r="J13" i="17"/>
  <c r="K13" i="17" s="1"/>
  <c r="L13" i="17" s="1"/>
  <c r="J14" i="17"/>
  <c r="K14" i="17" s="1"/>
  <c r="L14" i="17" s="1"/>
  <c r="J4" i="17"/>
  <c r="K4" i="17" s="1"/>
  <c r="L4" i="17" s="1"/>
  <c r="C5" i="17"/>
  <c r="D5" i="17" s="1"/>
  <c r="E5" i="17" s="1"/>
  <c r="C6" i="17"/>
  <c r="D6" i="17" s="1"/>
  <c r="E6" i="17" s="1"/>
  <c r="C7" i="17"/>
  <c r="D7" i="17" s="1"/>
  <c r="E7" i="17" s="1"/>
  <c r="C8" i="17"/>
  <c r="D8" i="17" s="1"/>
  <c r="E8" i="17" s="1"/>
  <c r="C9" i="17"/>
  <c r="D9" i="17" s="1"/>
  <c r="E9" i="17" s="1"/>
  <c r="C10" i="17"/>
  <c r="D10" i="17" s="1"/>
  <c r="E10" i="17" s="1"/>
  <c r="C11" i="17"/>
  <c r="D11" i="17" s="1"/>
  <c r="E11" i="17" s="1"/>
  <c r="C12" i="17"/>
  <c r="D12" i="17" s="1"/>
  <c r="E12" i="17" s="1"/>
  <c r="C13" i="17"/>
  <c r="D13" i="17" s="1"/>
  <c r="E13" i="17" s="1"/>
  <c r="C14" i="17"/>
  <c r="D14" i="17" s="1"/>
  <c r="E14" i="17" s="1"/>
  <c r="C4" i="17"/>
  <c r="D4" i="17" s="1"/>
  <c r="E4" i="17" s="1"/>
  <c r="C6" i="2"/>
  <c r="D6" i="2" s="1"/>
  <c r="E6" i="2"/>
  <c r="C7" i="2"/>
  <c r="D7" i="2" s="1"/>
  <c r="E7" i="2"/>
  <c r="C8" i="2"/>
  <c r="D8" i="2" s="1"/>
  <c r="E8" i="2"/>
  <c r="C17" i="13"/>
  <c r="H17" i="13" s="1"/>
  <c r="C18" i="13"/>
  <c r="M18" i="13" s="1"/>
  <c r="C19" i="13"/>
  <c r="H19" i="13" s="1"/>
  <c r="C20" i="13"/>
  <c r="M20" i="13" s="1"/>
  <c r="C21" i="13"/>
  <c r="K21" i="13" s="1"/>
  <c r="C22" i="13"/>
  <c r="H22" i="13" s="1"/>
  <c r="I17" i="13"/>
  <c r="J17" i="13"/>
  <c r="L17" i="13"/>
  <c r="N17" i="13"/>
  <c r="O17" i="13"/>
  <c r="P17" i="13"/>
  <c r="Q17" i="13"/>
  <c r="I18" i="13"/>
  <c r="J18" i="13"/>
  <c r="L18" i="13"/>
  <c r="N18" i="13"/>
  <c r="O18" i="13"/>
  <c r="P18" i="13"/>
  <c r="Q18" i="13"/>
  <c r="I19" i="13"/>
  <c r="J19" i="13"/>
  <c r="L19" i="13"/>
  <c r="N19" i="13"/>
  <c r="O19" i="13"/>
  <c r="P19" i="13"/>
  <c r="Q19" i="13"/>
  <c r="I20" i="13"/>
  <c r="J20" i="13"/>
  <c r="L20" i="13"/>
  <c r="N20" i="13"/>
  <c r="O20" i="13"/>
  <c r="P20" i="13"/>
  <c r="Q20" i="13"/>
  <c r="I21" i="13"/>
  <c r="J21" i="13"/>
  <c r="L21" i="13"/>
  <c r="N21" i="13"/>
  <c r="O21" i="13"/>
  <c r="P21" i="13"/>
  <c r="Q21" i="13"/>
  <c r="I22" i="13"/>
  <c r="J22" i="13"/>
  <c r="L22" i="13"/>
  <c r="N22" i="13"/>
  <c r="O22" i="13"/>
  <c r="P22" i="13"/>
  <c r="Q22" i="13"/>
  <c r="Q28" i="13"/>
  <c r="P28" i="13"/>
  <c r="O28" i="13"/>
  <c r="N28" i="13"/>
  <c r="L28" i="13"/>
  <c r="J28" i="13"/>
  <c r="I28" i="13"/>
  <c r="C28" i="13"/>
  <c r="M28" i="13" s="1"/>
  <c r="Q27" i="13"/>
  <c r="P27" i="13"/>
  <c r="O27" i="13"/>
  <c r="N27" i="13"/>
  <c r="L27" i="13"/>
  <c r="J27" i="13"/>
  <c r="I27" i="13"/>
  <c r="C27" i="13"/>
  <c r="K27" i="13" s="1"/>
  <c r="Q26" i="13"/>
  <c r="P26" i="13"/>
  <c r="O26" i="13"/>
  <c r="N26" i="13"/>
  <c r="L26" i="13"/>
  <c r="J26" i="13"/>
  <c r="I26" i="13"/>
  <c r="C26" i="13"/>
  <c r="H26" i="13" s="1"/>
  <c r="P25" i="13"/>
  <c r="N25" i="13"/>
  <c r="L25" i="13"/>
  <c r="J25" i="13"/>
  <c r="I25" i="13"/>
  <c r="C25" i="13"/>
  <c r="H25" i="13" s="1"/>
  <c r="Q16" i="13"/>
  <c r="P16" i="13"/>
  <c r="O16" i="13"/>
  <c r="N16" i="13"/>
  <c r="L16" i="13"/>
  <c r="J16" i="13"/>
  <c r="I16" i="13"/>
  <c r="C16" i="13"/>
  <c r="H16" i="13" s="1"/>
  <c r="Q13" i="13"/>
  <c r="P13" i="13"/>
  <c r="O13" i="13"/>
  <c r="N13" i="13"/>
  <c r="L13" i="13"/>
  <c r="J13" i="13"/>
  <c r="I13" i="13"/>
  <c r="C13" i="13"/>
  <c r="H13" i="13" s="1"/>
  <c r="Q12" i="13"/>
  <c r="P12" i="13"/>
  <c r="O12" i="13"/>
  <c r="N12" i="13"/>
  <c r="L12" i="13"/>
  <c r="J12" i="13"/>
  <c r="I12" i="13"/>
  <c r="C12" i="13"/>
  <c r="M12" i="13" s="1"/>
  <c r="M9" i="13"/>
  <c r="L9" i="13"/>
  <c r="K9" i="13"/>
  <c r="J9" i="13"/>
  <c r="I9" i="13"/>
  <c r="H9" i="13"/>
  <c r="M8" i="13"/>
  <c r="L8" i="13"/>
  <c r="K8" i="13"/>
  <c r="J8" i="13"/>
  <c r="I8" i="13"/>
  <c r="H8" i="13"/>
  <c r="M7" i="13"/>
  <c r="L7" i="13"/>
  <c r="K7" i="13"/>
  <c r="J7" i="13"/>
  <c r="I7" i="13"/>
  <c r="H7" i="13"/>
  <c r="M6" i="13"/>
  <c r="L6" i="13"/>
  <c r="K6" i="13"/>
  <c r="J6" i="13"/>
  <c r="I6" i="13"/>
  <c r="H6" i="13"/>
  <c r="M5" i="13"/>
  <c r="L5" i="13"/>
  <c r="K5" i="13"/>
  <c r="J5" i="13"/>
  <c r="I5" i="13"/>
  <c r="H5" i="13"/>
  <c r="G14" i="16"/>
  <c r="G13" i="16"/>
  <c r="G12" i="16"/>
  <c r="G11" i="16"/>
  <c r="G10" i="16"/>
  <c r="G9" i="16"/>
  <c r="G8" i="16"/>
  <c r="G7" i="16"/>
  <c r="G6" i="16"/>
  <c r="G5" i="16"/>
  <c r="G4" i="16"/>
  <c r="G16" i="16" s="1"/>
  <c r="G9" i="10" l="1"/>
  <c r="F7" i="10" s="1" a="1"/>
  <c r="F7" i="10" s="1"/>
  <c r="F5" i="10" a="1"/>
  <c r="F5" i="10" s="1"/>
  <c r="F4" i="3"/>
  <c r="G4" i="3"/>
  <c r="Q14" i="19"/>
  <c r="O14" i="19"/>
  <c r="O12" i="19"/>
  <c r="M14" i="19"/>
  <c r="C14" i="19"/>
  <c r="E19" i="10" a="1"/>
  <c r="E19" i="10" s="1"/>
  <c r="G27" i="10" a="1"/>
  <c r="G27" i="10" s="1"/>
  <c r="F23" i="10" s="1" a="1"/>
  <c r="F23" i="10" s="1"/>
  <c r="C12" i="19"/>
  <c r="Q10" i="19"/>
  <c r="M10" i="19"/>
  <c r="K10" i="19"/>
  <c r="E10" i="19"/>
  <c r="I4" i="3"/>
  <c r="M22" i="13"/>
  <c r="K22" i="13"/>
  <c r="H21" i="13"/>
  <c r="K20" i="13"/>
  <c r="H20" i="13"/>
  <c r="K19" i="13"/>
  <c r="M19" i="13"/>
  <c r="K18" i="13"/>
  <c r="M17" i="13"/>
  <c r="H18" i="13"/>
  <c r="K17" i="13"/>
  <c r="M21" i="13"/>
  <c r="H28" i="13"/>
  <c r="H12" i="13"/>
  <c r="K26" i="13"/>
  <c r="M26" i="13"/>
  <c r="M25" i="13"/>
  <c r="K25" i="13"/>
  <c r="K13" i="13"/>
  <c r="M27" i="13"/>
  <c r="M13" i="13"/>
  <c r="E20" i="10" a="1"/>
  <c r="E20" i="10" s="1"/>
  <c r="E21" i="10" a="1"/>
  <c r="E21" i="10" s="1"/>
  <c r="E22" i="10" a="1"/>
  <c r="E22" i="10" s="1"/>
  <c r="K16" i="13"/>
  <c r="M16" i="13"/>
  <c r="K28" i="13"/>
  <c r="H27" i="13"/>
  <c r="K12" i="13"/>
  <c r="E13" i="10" l="1"/>
  <c r="E7" i="10"/>
  <c r="E4" i="10"/>
  <c r="E5" i="10" l="1" a="1"/>
  <c r="E5" i="10" s="1"/>
  <c r="E6" i="10" l="1" a="1"/>
  <c r="E6" i="10" s="1"/>
  <c r="J21" i="3"/>
  <c r="I21" i="3"/>
  <c r="F21" i="3"/>
  <c r="E21" i="3"/>
  <c r="H21" i="3" s="1"/>
  <c r="E15" i="7" l="1"/>
  <c r="E4" i="7"/>
  <c r="B13" i="7" l="1"/>
  <c r="B8" i="7"/>
  <c r="B15" i="7" s="1"/>
  <c r="C13" i="7"/>
  <c r="C8" i="7"/>
  <c r="D15" i="7" s="1"/>
  <c r="L18" i="2"/>
  <c r="L17" i="2"/>
  <c r="L16" i="2"/>
  <c r="C18" i="2"/>
  <c r="D18" i="2" s="1"/>
  <c r="C17" i="2"/>
  <c r="D17" i="2" s="1"/>
  <c r="C16" i="2"/>
  <c r="D16" i="2" s="1"/>
  <c r="E16" i="2"/>
  <c r="E17" i="2"/>
  <c r="E18" i="2"/>
  <c r="E16" i="7" l="1"/>
  <c r="D12" i="5"/>
  <c r="D20" i="5"/>
  <c r="D16" i="5"/>
  <c r="D8" i="5"/>
  <c r="D4" i="5"/>
  <c r="D23" i="5" l="1"/>
  <c r="D24" i="5" s="1"/>
  <c r="I9" i="3" l="1"/>
  <c r="F9" i="3"/>
  <c r="E9" i="3"/>
  <c r="H9" i="3" s="1"/>
  <c r="J4" i="3"/>
  <c r="J9" i="3" l="1"/>
  <c r="G9" i="3" s="1"/>
  <c r="B17" i="3"/>
  <c r="A14" i="3"/>
  <c r="E5" i="3"/>
  <c r="D14" i="3" s="1"/>
  <c r="H4" i="3"/>
  <c r="B14" i="3" s="1"/>
  <c r="K4" i="3"/>
  <c r="C14" i="3" s="1"/>
  <c r="N5" i="2"/>
  <c r="N6" i="2"/>
  <c r="N7" i="2"/>
  <c r="N8" i="2"/>
  <c r="N9" i="2"/>
  <c r="N10" i="2"/>
  <c r="N11" i="2"/>
  <c r="N12" i="2"/>
  <c r="N13" i="2"/>
  <c r="N14" i="2"/>
  <c r="N17" i="2"/>
  <c r="N18" i="2"/>
  <c r="N4" i="2"/>
  <c r="E5" i="2"/>
  <c r="E9" i="2"/>
  <c r="E10" i="2"/>
  <c r="E11" i="2"/>
  <c r="E12" i="2"/>
  <c r="E13" i="2"/>
  <c r="E14" i="2"/>
  <c r="E4" i="2"/>
  <c r="C5" i="2"/>
  <c r="D5" i="2" s="1"/>
  <c r="C9" i="2"/>
  <c r="D9" i="2" s="1"/>
  <c r="C10" i="2"/>
  <c r="D10" i="2" s="1"/>
  <c r="C11" i="2"/>
  <c r="D11" i="2" s="1"/>
  <c r="C12" i="2"/>
  <c r="D12" i="2" s="1"/>
  <c r="C13" i="2"/>
  <c r="D13" i="2" s="1"/>
  <c r="C14" i="2"/>
  <c r="D14" i="2" s="1"/>
  <c r="M18" i="2"/>
  <c r="M17" i="2"/>
  <c r="M16" i="2"/>
  <c r="L14" i="2"/>
  <c r="M14" i="2" s="1"/>
  <c r="L13" i="2"/>
  <c r="M13" i="2" s="1"/>
  <c r="L12" i="2"/>
  <c r="M12" i="2" s="1"/>
  <c r="L11" i="2"/>
  <c r="M11" i="2" s="1"/>
  <c r="L10" i="2"/>
  <c r="M10" i="2" s="1"/>
  <c r="L9" i="2"/>
  <c r="M9" i="2" s="1"/>
  <c r="L8" i="2"/>
  <c r="M8" i="2" s="1"/>
  <c r="L7" i="2"/>
  <c r="M7" i="2" s="1"/>
  <c r="L6" i="2"/>
  <c r="M6" i="2" s="1"/>
  <c r="L5" i="2"/>
  <c r="M5" i="2" s="1"/>
  <c r="L4" i="2"/>
  <c r="M4" i="2" s="1"/>
  <c r="C4" i="2"/>
  <c r="D4" i="2" s="1"/>
  <c r="C17" i="3" l="1"/>
  <c r="A17" i="3"/>
  <c r="F14" i="3"/>
  <c r="F5" i="3"/>
  <c r="E10" i="3"/>
  <c r="D17" i="3" s="1"/>
  <c r="N19" i="2"/>
  <c r="C24" i="2" s="1"/>
  <c r="D24" i="2" s="1"/>
  <c r="E19" i="2"/>
  <c r="C23" i="2" s="1"/>
  <c r="F17" i="3" l="1"/>
  <c r="D26" i="2"/>
  <c r="D27" i="2"/>
  <c r="D28" i="2"/>
  <c r="D25" i="2"/>
  <c r="D29" i="2"/>
  <c r="D30" i="2"/>
  <c r="D23" i="2"/>
  <c r="H4" i="21" l="1"/>
  <c r="G6" i="2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<sst xmlns="http://schemas.openxmlformats.org/spreadsheetml/2006/main" count="704" uniqueCount="338">
  <si>
    <t xml:space="preserve">what </t>
  </si>
  <si>
    <t>qty</t>
  </si>
  <si>
    <t xml:space="preserve">total </t>
  </si>
  <si>
    <t>S/G KEEPER</t>
  </si>
  <si>
    <t>D/G KEEPER</t>
  </si>
  <si>
    <t>INGROUNDS</t>
  </si>
  <si>
    <t>BRASS WASHER</t>
  </si>
  <si>
    <t xml:space="preserve">BOTTOM HINGE </t>
  </si>
  <si>
    <t>GATE HINGE KIT CALCULATOR</t>
  </si>
  <si>
    <t>GATE #</t>
  </si>
  <si>
    <t>OPENING</t>
  </si>
  <si>
    <t xml:space="preserve">ACTUAL </t>
  </si>
  <si>
    <t>6 X PUNCHED RAIL</t>
  </si>
  <si>
    <t>65x65x1.6</t>
  </si>
  <si>
    <t>65x65x1.6 (centers)</t>
  </si>
  <si>
    <t>SCHOOL SPEC DOUBLE GATE CUT LISTS CALCULATOR</t>
  </si>
  <si>
    <t>SCHOOL SPEC SINGLE GATE CUT LISTS CALCULATOR</t>
  </si>
  <si>
    <t>3 X PUNCHED RAIL</t>
  </si>
  <si>
    <t>LEAF</t>
  </si>
  <si>
    <t>TOTAL LEAFS =</t>
  </si>
  <si>
    <t>LEAFS</t>
  </si>
  <si>
    <t>HINGE BOLT</t>
  </si>
  <si>
    <t>SECURITY BOLT</t>
  </si>
  <si>
    <t>HIGHT</t>
  </si>
  <si>
    <t>25X25X1.2</t>
  </si>
  <si>
    <t>SPEAR PICKETS</t>
  </si>
  <si>
    <t>125X75X3</t>
  </si>
  <si>
    <t>65X65X2.5</t>
  </si>
  <si>
    <t>MANUAL OR AUTO</t>
  </si>
  <si>
    <t>ACUTAL</t>
  </si>
  <si>
    <t xml:space="preserve">M/A </t>
  </si>
  <si>
    <t>PICKET QTY</t>
  </si>
  <si>
    <t xml:space="preserve">X 1 </t>
  </si>
  <si>
    <t>SLIDING GATE CALCUALTION</t>
  </si>
  <si>
    <t>X 2</t>
  </si>
  <si>
    <t>CENTERS</t>
  </si>
  <si>
    <t>SWING</t>
  </si>
  <si>
    <t>CANT TRACK</t>
  </si>
  <si>
    <t>CANT GATE FORMUAL MEDIUM TRACK 1800 CAGE</t>
  </si>
  <si>
    <t>25x25x1.2</t>
  </si>
  <si>
    <t>CUT LIST</t>
  </si>
  <si>
    <t xml:space="preserve">65x65x2.5 </t>
  </si>
  <si>
    <t>mtrs</t>
  </si>
  <si>
    <t>wieght</t>
  </si>
  <si>
    <t>weight</t>
  </si>
  <si>
    <t>length</t>
  </si>
  <si>
    <t>total</t>
  </si>
  <si>
    <t>40x40x1.6</t>
  </si>
  <si>
    <t>40x40x2.5</t>
  </si>
  <si>
    <t xml:space="preserve">wieght </t>
  </si>
  <si>
    <t>total weight</t>
  </si>
  <si>
    <t>10kg for weld &amp; paint</t>
  </si>
  <si>
    <t>GATE WEIGHT CALCULATOR</t>
  </si>
  <si>
    <t>KG</t>
  </si>
  <si>
    <t>SLIDING GATE WEIGHT</t>
  </si>
  <si>
    <t>PICKETS</t>
  </si>
  <si>
    <t>RAIL</t>
  </si>
  <si>
    <t>TOTAL PLUS 10KG</t>
  </si>
  <si>
    <t>RAIL &amp; STYLE</t>
  </si>
  <si>
    <t>CANT GATE WEIGHT</t>
  </si>
  <si>
    <t>TRACK</t>
  </si>
  <si>
    <t>RAIL &amp; STYLES</t>
  </si>
  <si>
    <t>358 Y/N</t>
  </si>
  <si>
    <t>WELD GATE NUMBER !!</t>
  </si>
  <si>
    <t xml:space="preserve">WELD GATE NUMBERS ON </t>
  </si>
  <si>
    <t>SCHOOL -CENTER - JOB NO.</t>
  </si>
  <si>
    <t>QTY</t>
  </si>
  <si>
    <t>RAKE</t>
  </si>
  <si>
    <t>LENGTH</t>
  </si>
  <si>
    <t>COMMENT</t>
  </si>
  <si>
    <t>HAND PUNCH RAIL X 3</t>
  </si>
  <si>
    <t>100X100X3</t>
  </si>
  <si>
    <t>2 X STYLES</t>
  </si>
  <si>
    <t xml:space="preserve">WEIGHT </t>
  </si>
  <si>
    <t>TOTAL KG =</t>
  </si>
  <si>
    <t xml:space="preserve">65X65 QTY2 </t>
  </si>
  <si>
    <t>HAND PUNCH RAIL</t>
  </si>
  <si>
    <t>65X65 QTY 3</t>
  </si>
  <si>
    <t>CANT GATE FORMUAL SMALL TRACK 600 CAGE</t>
  </si>
  <si>
    <t>FRAME</t>
  </si>
  <si>
    <t>GRADE</t>
  </si>
  <si>
    <t>HEIGHT</t>
  </si>
  <si>
    <t>BARBS</t>
  </si>
  <si>
    <t>ACTUAL</t>
  </si>
  <si>
    <t>S OR D</t>
  </si>
  <si>
    <t>INFO</t>
  </si>
  <si>
    <t>WHAT</t>
  </si>
  <si>
    <t xml:space="preserve">QTY </t>
  </si>
  <si>
    <t>D</t>
  </si>
  <si>
    <t xml:space="preserve">PIPE WEIGHT CALUCALTOR </t>
  </si>
  <si>
    <t>WEIGHT</t>
  </si>
  <si>
    <t>TOTAL</t>
  </si>
  <si>
    <t>25NB XL</t>
  </si>
  <si>
    <t>25NB M</t>
  </si>
  <si>
    <t>32NB XL</t>
  </si>
  <si>
    <t>32NB M</t>
  </si>
  <si>
    <t>40NB XL</t>
  </si>
  <si>
    <t xml:space="preserve">40NB M </t>
  </si>
  <si>
    <t>50NB XL</t>
  </si>
  <si>
    <t>50NB M</t>
  </si>
  <si>
    <t>65NB M</t>
  </si>
  <si>
    <t>80NB M</t>
  </si>
  <si>
    <t>100NB M</t>
  </si>
  <si>
    <t xml:space="preserve">FLAT TOP </t>
  </si>
  <si>
    <t>PANELS</t>
  </si>
  <si>
    <t xml:space="preserve">25X25X1.2 </t>
  </si>
  <si>
    <t>40X40 2HOLE</t>
  </si>
  <si>
    <t>40X40 1 HOLE</t>
  </si>
  <si>
    <t>C</t>
  </si>
  <si>
    <t>GATES M18</t>
  </si>
  <si>
    <t>65X65 2HOLE</t>
  </si>
  <si>
    <t>65X65 1 HOLE</t>
  </si>
  <si>
    <t>65X65X1.6</t>
  </si>
  <si>
    <t>#</t>
  </si>
  <si>
    <t>S/D</t>
  </si>
  <si>
    <t>SCHOOL HINGES</t>
  </si>
  <si>
    <t>GATES 40 FRAME - PLASTICS</t>
  </si>
  <si>
    <t>40X40X1.6</t>
  </si>
  <si>
    <t>40X40X2.5</t>
  </si>
  <si>
    <t>DET SPEC ACCESS CONTROL GATE CUT LISTS CALCULATOR</t>
  </si>
  <si>
    <t xml:space="preserve">ROLL TOP GATES </t>
  </si>
  <si>
    <t>OVERALL LENGTH</t>
  </si>
  <si>
    <t xml:space="preserve">BEND MARK FROM EACH END </t>
  </si>
  <si>
    <t>BETWEEN MARK MEASURMENT</t>
  </si>
  <si>
    <t xml:space="preserve">password to unlock sheet is password </t>
  </si>
  <si>
    <t>d</t>
  </si>
  <si>
    <t>HINGE 85PST-M</t>
  </si>
  <si>
    <t>latching</t>
  </si>
  <si>
    <t xml:space="preserve">usind WRD-100 dual sliding gate wheels </t>
  </si>
  <si>
    <t xml:space="preserve">using 300550HC single wheel </t>
  </si>
  <si>
    <t>300550HC wheels</t>
  </si>
  <si>
    <t xml:space="preserve">HEIGHT </t>
  </si>
  <si>
    <t xml:space="preserve">65x65x1.6 </t>
  </si>
  <si>
    <t xml:space="preserve">STYLES </t>
  </si>
  <si>
    <t>65X65X2.5 HINGE</t>
  </si>
  <si>
    <t xml:space="preserve">65X65X1.6 LATCH </t>
  </si>
  <si>
    <t>corro mesh school spec gate using 358</t>
  </si>
  <si>
    <t>65x65x2.5</t>
  </si>
  <si>
    <t>HINGE STYLE</t>
  </si>
  <si>
    <t>LATCH STYLE</t>
  </si>
  <si>
    <t>TOP VERTICALS</t>
  </si>
  <si>
    <t>TOP HORIZONTALS</t>
  </si>
  <si>
    <t>BOTTOM VERTICALS</t>
  </si>
  <si>
    <t>BOTTOM HORIZONTALS</t>
  </si>
  <si>
    <t>*GAL*</t>
  </si>
  <si>
    <t>DROP BOLT COVER</t>
  </si>
  <si>
    <t>SG</t>
  </si>
  <si>
    <t xml:space="preserve">DG </t>
  </si>
  <si>
    <t xml:space="preserve">HEIGHT is for 2100 only </t>
  </si>
  <si>
    <t xml:space="preserve">croc strip </t>
  </si>
  <si>
    <t>65X65X1.6 (use 2.5 for access gate)</t>
  </si>
  <si>
    <t xml:space="preserve">EA50X5  </t>
  </si>
  <si>
    <t xml:space="preserve">Note once gate leaf is over 2400mm internal measurement the design changes </t>
  </si>
  <si>
    <t xml:space="preserve">colour bond gate cut list </t>
  </si>
  <si>
    <t>gate #</t>
  </si>
  <si>
    <t xml:space="preserve">opening </t>
  </si>
  <si>
    <t xml:space="preserve">actual </t>
  </si>
  <si>
    <t>c/b rail</t>
  </si>
  <si>
    <t>strip</t>
  </si>
  <si>
    <t xml:space="preserve">type of colour bond </t>
  </si>
  <si>
    <t>lysart</t>
  </si>
  <si>
    <t>or</t>
  </si>
  <si>
    <t>ourtown</t>
  </si>
  <si>
    <t xml:space="preserve">height </t>
  </si>
  <si>
    <t>S / D</t>
  </si>
  <si>
    <t xml:space="preserve">&lt; must select one </t>
  </si>
  <si>
    <t>65x35x2</t>
  </si>
  <si>
    <t>stock take for re ordering imports</t>
  </si>
  <si>
    <t>steel</t>
  </si>
  <si>
    <t xml:space="preserve">25x25x1.2x6400 gal </t>
  </si>
  <si>
    <t>25x25x1.2x7320 gal</t>
  </si>
  <si>
    <t>25x25x2x6500 gal</t>
  </si>
  <si>
    <t>40x40x1.6x7320 gal</t>
  </si>
  <si>
    <t>65x65x1.6x8000 gal</t>
  </si>
  <si>
    <t>65x65x1.6x6300 gal</t>
  </si>
  <si>
    <t>65x65x2.5x6000 gal</t>
  </si>
  <si>
    <t>65x65x2.5x8000 gal</t>
  </si>
  <si>
    <t>100x100x3x7300 gal</t>
  </si>
  <si>
    <t>100x100x3x12000 gal punched</t>
  </si>
  <si>
    <t xml:space="preserve">150x150x5x9000 gal </t>
  </si>
  <si>
    <t xml:space="preserve">componets </t>
  </si>
  <si>
    <t xml:space="preserve">2100 spear top </t>
  </si>
  <si>
    <t xml:space="preserve">1800 spear top </t>
  </si>
  <si>
    <t>2090 flat top</t>
  </si>
  <si>
    <t>40x40x1.6x2400 punched rail</t>
  </si>
  <si>
    <t>2 hole 125c</t>
  </si>
  <si>
    <t>2 hole 125c raked</t>
  </si>
  <si>
    <t xml:space="preserve">2 hole 140c </t>
  </si>
  <si>
    <t>2 hole 140 raked</t>
  </si>
  <si>
    <t>1 hole 140c</t>
  </si>
  <si>
    <t xml:space="preserve">2 hole 114c </t>
  </si>
  <si>
    <t xml:space="preserve">1 hole 114 c </t>
  </si>
  <si>
    <t xml:space="preserve">imported posts </t>
  </si>
  <si>
    <t>3000 black</t>
  </si>
  <si>
    <t>3300 black</t>
  </si>
  <si>
    <t xml:space="preserve">3000 monument </t>
  </si>
  <si>
    <t xml:space="preserve">qty </t>
  </si>
  <si>
    <t xml:space="preserve">comment </t>
  </si>
  <si>
    <t xml:space="preserve">do we order styles pre cut? </t>
  </si>
  <si>
    <t xml:space="preserve">do we order raw posts 3mtr ? </t>
  </si>
  <si>
    <t>SS CANT with end wheels MEDIUM TRACK 1260 CAGE</t>
  </si>
  <si>
    <t>ACCESS</t>
  </si>
  <si>
    <t>X 3 PUNCHED</t>
  </si>
  <si>
    <t>32nb</t>
  </si>
  <si>
    <t>40nb</t>
  </si>
  <si>
    <t>S</t>
  </si>
  <si>
    <t>A</t>
  </si>
  <si>
    <t>N</t>
  </si>
  <si>
    <t>Y</t>
  </si>
  <si>
    <t>LEFT</t>
  </si>
  <si>
    <t>RIGHT</t>
  </si>
  <si>
    <t>BARB TOP GATES</t>
  </si>
  <si>
    <t>STYLES BARB ONE END</t>
  </si>
  <si>
    <t>VERTICAL CRIMP BOTH ENDS</t>
  </si>
  <si>
    <t>HORIZONTALS CRIMP BOTH ENDS</t>
  </si>
  <si>
    <t>BARB TOPER  CRIMPED ONE END</t>
  </si>
  <si>
    <t>38x25</t>
  </si>
  <si>
    <t>16mm</t>
  </si>
  <si>
    <t>38x25 2HOLE</t>
  </si>
  <si>
    <t>38x25 1 HOLE</t>
  </si>
  <si>
    <t xml:space="preserve">16mm 38x25 panels and gates flat top </t>
  </si>
  <si>
    <t>GATES 38x25 FRAME - PLASTICS</t>
  </si>
  <si>
    <t>38x25 PANELS</t>
  </si>
  <si>
    <t>material</t>
  </si>
  <si>
    <t xml:space="preserve">100X100X3 PUNCHED </t>
  </si>
  <si>
    <t>CANT GATE FORMUAL LARGE 100 FRAME AUTO ONLY</t>
  </si>
  <si>
    <t>Steel</t>
  </si>
  <si>
    <t>MAMMOUTH HINGES</t>
  </si>
  <si>
    <t>LOCK</t>
  </si>
  <si>
    <t>MORTIC</t>
  </si>
  <si>
    <t>MAG</t>
  </si>
  <si>
    <t>002 EGRESS BARB TOP GATES</t>
  </si>
  <si>
    <t>002 EGRESS ROLL TOP GATES</t>
  </si>
  <si>
    <t>GATES 40 FRAME - 002 EGRESS</t>
  </si>
  <si>
    <t>SPEAR TOP</t>
  </si>
  <si>
    <t>40X40X1.6 2HOLE</t>
  </si>
  <si>
    <r>
      <t>25X25X2 CUT 45</t>
    </r>
    <r>
      <rPr>
        <sz val="16"/>
        <color theme="1"/>
        <rFont val="Verdana"/>
        <family val="2"/>
      </rPr>
      <t>°</t>
    </r>
  </si>
  <si>
    <t>XL</t>
  </si>
  <si>
    <t xml:space="preserve">HOW TO USE THIS SHEET </t>
  </si>
  <si>
    <t>blue box mean you fill it in</t>
  </si>
  <si>
    <t>grey box means it has a drop down to select from</t>
  </si>
  <si>
    <t xml:space="preserve">do not save while using or type over formulas </t>
  </si>
  <si>
    <t>TELESCOPIC RANGER GATES</t>
  </si>
  <si>
    <t>HIEGHT</t>
  </si>
  <si>
    <t>PUNCHED RAIL</t>
  </si>
  <si>
    <t>SPEAR TOP PICKETS</t>
  </si>
  <si>
    <t>STAGE</t>
  </si>
  <si>
    <t>M18 HINGES</t>
  </si>
  <si>
    <t>M18HINGES</t>
  </si>
  <si>
    <t>SPEAR</t>
  </si>
  <si>
    <t>KENNARDS - 002 EGRESS</t>
  </si>
  <si>
    <t>40X40X2</t>
  </si>
  <si>
    <t>40X40X2.5, 2HOLE</t>
  </si>
  <si>
    <t xml:space="preserve">1700 cage </t>
  </si>
  <si>
    <t xml:space="preserve">full lengths </t>
  </si>
  <si>
    <t>packs</t>
  </si>
  <si>
    <t>cut</t>
  </si>
  <si>
    <t>pack</t>
  </si>
  <si>
    <t>hand</t>
  </si>
  <si>
    <t>swage</t>
  </si>
  <si>
    <t>to be swaged</t>
  </si>
  <si>
    <t>full length</t>
  </si>
  <si>
    <t xml:space="preserve">swages left </t>
  </si>
  <si>
    <t>2166mm</t>
  </si>
  <si>
    <t>2650mm</t>
  </si>
  <si>
    <t>590mm</t>
  </si>
  <si>
    <t>Candidate Name:</t>
  </si>
  <si>
    <t>Name of Interviewer:</t>
  </si>
  <si>
    <t>Interviewed for Job Role:</t>
  </si>
  <si>
    <t>Date / Time of Interview:</t>
  </si>
  <si>
    <t>Was the candidate prepared for the interview?</t>
  </si>
  <si>
    <t>Describe:</t>
  </si>
  <si>
    <t>(Researched company, dressed appropriately, arrived on time?)</t>
  </si>
  <si>
    <t>Does their experience appear to match what's needed?</t>
  </si>
  <si>
    <t>(Work experience, life experience, or volunteer work?)</t>
  </si>
  <si>
    <t>Do they have some or all of the required credentials?</t>
  </si>
  <si>
    <t>(For example, education, licenses, certifications?)</t>
  </si>
  <si>
    <t>How are their interpersonal skills?</t>
  </si>
  <si>
    <t>(Friendly, smiling, outgoing, kind, fun, interactive?)</t>
  </si>
  <si>
    <t>How good are their communication skills?</t>
  </si>
  <si>
    <t>(Written skills, i.e. resume, application, as well as verbal skills)</t>
  </si>
  <si>
    <t>How well did they answer teamwork job-related questions?</t>
  </si>
  <si>
    <t>(Likes working with others, good rapport?)</t>
  </si>
  <si>
    <t>(Customer focused, good listener, problem solver?)</t>
  </si>
  <si>
    <t>How open did they appear to be to learning new things?</t>
  </si>
  <si>
    <t>(Willing to learn, attend training, accept feedback?)</t>
  </si>
  <si>
    <t>How interested did the candidate seem in getting the job?</t>
  </si>
  <si>
    <t>(In the job, the pay, the hours, the work requirements?)</t>
  </si>
  <si>
    <t># of checkmarks for each rating, poor, ok, great (total should = 10) --&gt;</t>
  </si>
  <si>
    <t>Additional notes to support your recommendation:</t>
  </si>
  <si>
    <t>What was YOUR overall impression of the candidate? (circle one)</t>
  </si>
  <si>
    <t>No</t>
  </si>
  <si>
    <t>Yes</t>
  </si>
  <si>
    <t>Do YOU recommend we move forward with this candidate? (circle one)</t>
  </si>
  <si>
    <t>How interested where they in a long term employment?</t>
  </si>
  <si>
    <t>LF - MR - HR - firstaid - whitecard - confinedspace - boilermaker - other</t>
  </si>
  <si>
    <t>Poor=1</t>
  </si>
  <si>
    <t>OK=2</t>
  </si>
  <si>
    <t>Great=3</t>
  </si>
  <si>
    <t>Poor = 5</t>
  </si>
  <si>
    <t>OK = 10</t>
  </si>
  <si>
    <t>Great = 20</t>
  </si>
  <si>
    <t xml:space="preserve">               /20</t>
  </si>
  <si>
    <t xml:space="preserve">                /30</t>
  </si>
  <si>
    <t>total       /50</t>
  </si>
  <si>
    <t xml:space="preserve"> Interview Evaluation Form Template</t>
  </si>
  <si>
    <t xml:space="preserve">pay rate discused = </t>
  </si>
  <si>
    <t>letter of offer sent</t>
  </si>
  <si>
    <t>__/__/20__</t>
  </si>
  <si>
    <t>appearance for work.</t>
  </si>
  <si>
    <t>short-medium-tall,lean-average-bigger, unfit-fit-very fit</t>
  </si>
  <si>
    <t>sutability in other roles:</t>
  </si>
  <si>
    <t xml:space="preserve">RMS TYPE 5 </t>
  </si>
  <si>
    <t>ROUND 22</t>
  </si>
  <si>
    <t>ROUND 18</t>
  </si>
  <si>
    <t>75X10 FLAT</t>
  </si>
  <si>
    <t>75X10 FL PUNCHED</t>
  </si>
  <si>
    <t>PANEL QTY</t>
  </si>
  <si>
    <t>MATERIAL LENGTH</t>
  </si>
  <si>
    <t>LENGTHS REQUIRED</t>
  </si>
  <si>
    <t>UA 75X50X8</t>
  </si>
  <si>
    <t>STOCK</t>
  </si>
  <si>
    <t>YES</t>
  </si>
  <si>
    <t>NO</t>
  </si>
  <si>
    <t>QTY PER LENGTH</t>
  </si>
  <si>
    <t>MATERIALS LIST</t>
  </si>
  <si>
    <t xml:space="preserve">POSTS </t>
  </si>
  <si>
    <t xml:space="preserve">INTERMIDIATS </t>
  </si>
  <si>
    <t>FLAT 50X10</t>
  </si>
  <si>
    <t>END</t>
  </si>
  <si>
    <t>FLAT 90X10</t>
  </si>
  <si>
    <t xml:space="preserve">weight </t>
  </si>
  <si>
    <t>panel weight</t>
  </si>
  <si>
    <t>EA50X5 PUNCHED 45° both ends \___/</t>
  </si>
  <si>
    <t>EA50X5 PUNCHED 45° both ends  \___/</t>
  </si>
  <si>
    <t xml:space="preserve">180° SWING SINGLE GATES for 100 posts </t>
  </si>
  <si>
    <t>180° SWING DOUBLE GATES for 100 posts</t>
  </si>
  <si>
    <t>GATE 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</si>
</sst>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mm&quot;"/>
    <numFmt numFmtId="165" formatCode="0&quot;°&quot;"/>
    <numFmt numFmtId="166" formatCode="0&quot;kg&quot;"/>
  </numFmts>
  <fonts count="2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6"/>
      <color theme="1"/>
      <name val="Verdana"/>
      <family val="2"/>
    </font>
    <font>
      <sz val="16"/>
      <name val="Calibri"/>
      <family val="2"/>
      <scheme val="minor"/>
    </font>
    <font>
      <sz val="16"/>
      <color theme="1"/>
      <name val="Aptos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CCCCCC"/>
      </bottom>
      <diagonal/>
    </border>
    <border>
      <left/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/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CCCCCC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4" xfId="0" applyFont="1" applyBorder="1"/>
    <xf numFmtId="0" fontId="1" fillId="0" borderId="0" xfId="0" applyFont="1" applyAlignment="1">
      <alignment horizontal="center"/>
    </xf>
    <xf numFmtId="49" fontId="1" fillId="0" borderId="0" xfId="0" applyNumberFormat="1" applyFont="1"/>
    <xf numFmtId="1" fontId="1" fillId="0" borderId="0" xfId="0" applyNumberFormat="1" applyFont="1"/>
    <xf numFmtId="0" fontId="1" fillId="0" borderId="9" xfId="0" applyFont="1" applyBorder="1" applyProtection="1">
      <protection locked="0" hidden="1"/>
    </xf>
    <xf numFmtId="1" fontId="1" fillId="0" borderId="1" xfId="0" applyNumberFormat="1" applyFont="1" applyBorder="1"/>
    <xf numFmtId="0" fontId="4" fillId="0" borderId="0" xfId="0" applyFont="1"/>
    <xf numFmtId="0" fontId="2" fillId="0" borderId="1" xfId="0" applyFont="1" applyBorder="1"/>
    <xf numFmtId="0" fontId="4" fillId="0" borderId="1" xfId="0" applyFont="1" applyBorder="1"/>
    <xf numFmtId="0" fontId="5" fillId="0" borderId="0" xfId="0" applyFont="1"/>
    <xf numFmtId="0" fontId="4" fillId="0" borderId="0" xfId="0" applyFont="1" applyProtection="1">
      <protection locked="0" hidden="1"/>
    </xf>
    <xf numFmtId="0" fontId="1" fillId="0" borderId="5" xfId="0" applyFont="1" applyBorder="1"/>
    <xf numFmtId="0" fontId="1" fillId="0" borderId="27" xfId="0" applyFont="1" applyBorder="1"/>
    <xf numFmtId="0" fontId="1" fillId="0" borderId="31" xfId="0" applyFont="1" applyBorder="1"/>
    <xf numFmtId="0" fontId="6" fillId="0" borderId="12" xfId="0" applyFont="1" applyBorder="1"/>
    <xf numFmtId="0" fontId="1" fillId="0" borderId="1" xfId="0" applyFont="1" applyBorder="1" applyProtection="1">
      <protection locked="0"/>
    </xf>
    <xf numFmtId="0" fontId="7" fillId="0" borderId="1" xfId="0" applyFont="1" applyBorder="1"/>
    <xf numFmtId="0" fontId="1" fillId="0" borderId="11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4" fillId="0" borderId="36" xfId="0" applyFont="1" applyBorder="1"/>
    <xf numFmtId="0" fontId="4" fillId="0" borderId="38" xfId="0" applyFont="1" applyBorder="1"/>
    <xf numFmtId="0" fontId="4" fillId="0" borderId="37" xfId="0" applyFont="1" applyBorder="1"/>
    <xf numFmtId="0" fontId="5" fillId="0" borderId="1" xfId="0" applyFont="1" applyBorder="1"/>
    <xf numFmtId="0" fontId="5" fillId="0" borderId="22" xfId="0" applyFont="1" applyBorder="1"/>
    <xf numFmtId="1" fontId="1" fillId="0" borderId="12" xfId="0" applyNumberFormat="1" applyFont="1" applyBorder="1"/>
    <xf numFmtId="1" fontId="1" fillId="0" borderId="9" xfId="0" applyNumberFormat="1" applyFont="1" applyBorder="1"/>
    <xf numFmtId="1" fontId="1" fillId="0" borderId="14" xfId="0" applyNumberFormat="1" applyFont="1" applyBorder="1"/>
    <xf numFmtId="0" fontId="1" fillId="0" borderId="14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0" xfId="0" applyFont="1" applyProtection="1">
      <protection locked="0" hidden="1"/>
    </xf>
    <xf numFmtId="0" fontId="1" fillId="0" borderId="10" xfId="0" applyFont="1" applyBorder="1"/>
    <xf numFmtId="0" fontId="1" fillId="0" borderId="43" xfId="0" applyFont="1" applyBorder="1"/>
    <xf numFmtId="0" fontId="1" fillId="0" borderId="2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3" xfId="0" applyFont="1" applyBorder="1" applyProtection="1">
      <protection locked="0"/>
    </xf>
    <xf numFmtId="0" fontId="1" fillId="0" borderId="31" xfId="0" applyFont="1" applyBorder="1" applyProtection="1">
      <protection locked="0" hidden="1"/>
    </xf>
    <xf numFmtId="0" fontId="1" fillId="0" borderId="32" xfId="0" applyFont="1" applyBorder="1"/>
    <xf numFmtId="1" fontId="1" fillId="0" borderId="20" xfId="0" applyNumberFormat="1" applyFont="1" applyBorder="1"/>
    <xf numFmtId="1" fontId="1" fillId="0" borderId="45" xfId="0" applyNumberFormat="1" applyFont="1" applyBorder="1"/>
    <xf numFmtId="0" fontId="1" fillId="0" borderId="48" xfId="0" applyFont="1" applyBorder="1"/>
    <xf numFmtId="0" fontId="1" fillId="0" borderId="50" xfId="0" applyFont="1" applyBorder="1"/>
    <xf numFmtId="0" fontId="1" fillId="0" borderId="45" xfId="0" applyFont="1" applyBorder="1"/>
    <xf numFmtId="0" fontId="1" fillId="0" borderId="17" xfId="0" applyFont="1" applyBorder="1"/>
    <xf numFmtId="0" fontId="10" fillId="0" borderId="1" xfId="0" applyFont="1" applyBorder="1"/>
    <xf numFmtId="0" fontId="10" fillId="0" borderId="5" xfId="0" applyFont="1" applyBorder="1"/>
    <xf numFmtId="1" fontId="10" fillId="0" borderId="1" xfId="0" applyNumberFormat="1" applyFont="1" applyBorder="1"/>
    <xf numFmtId="0" fontId="6" fillId="0" borderId="14" xfId="0" applyFont="1" applyBorder="1"/>
    <xf numFmtId="0" fontId="1" fillId="0" borderId="15" xfId="0" applyFont="1" applyBorder="1"/>
    <xf numFmtId="0" fontId="1" fillId="0" borderId="46" xfId="0" applyFont="1" applyBorder="1" applyProtection="1">
      <protection locked="0"/>
    </xf>
    <xf numFmtId="0" fontId="1" fillId="9" borderId="1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11" fillId="0" borderId="56" xfId="0" applyFont="1" applyBorder="1"/>
    <xf numFmtId="0" fontId="12" fillId="0" borderId="55" xfId="0" applyFont="1" applyBorder="1"/>
    <xf numFmtId="0" fontId="0" fillId="0" borderId="1" xfId="0" applyBorder="1"/>
    <xf numFmtId="0" fontId="0" fillId="9" borderId="1" xfId="0" applyFill="1" applyBorder="1"/>
    <xf numFmtId="0" fontId="1" fillId="10" borderId="20" xfId="0" applyFont="1" applyFill="1" applyBorder="1" applyProtection="1">
      <protection locked="0"/>
    </xf>
    <xf numFmtId="0" fontId="1" fillId="10" borderId="23" xfId="0" applyFont="1" applyFill="1" applyBorder="1" applyProtection="1">
      <protection locked="0"/>
    </xf>
    <xf numFmtId="0" fontId="1" fillId="10" borderId="1" xfId="0" applyFont="1" applyFill="1" applyBorder="1" applyProtection="1">
      <protection locked="0"/>
    </xf>
    <xf numFmtId="49" fontId="1" fillId="10" borderId="2" xfId="0" applyNumberFormat="1" applyFont="1" applyFill="1" applyBorder="1" applyProtection="1">
      <protection locked="0" hidden="1"/>
    </xf>
    <xf numFmtId="0" fontId="1" fillId="10" borderId="32" xfId="0" applyFont="1" applyFill="1" applyBorder="1" applyProtection="1">
      <protection locked="0" hidden="1"/>
    </xf>
    <xf numFmtId="0" fontId="1" fillId="10" borderId="47" xfId="0" applyFont="1" applyFill="1" applyBorder="1" applyProtection="1">
      <protection locked="0" hidden="1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10" borderId="22" xfId="0" applyFont="1" applyFill="1" applyBorder="1" applyProtection="1">
      <protection locked="0"/>
    </xf>
    <xf numFmtId="1" fontId="1" fillId="0" borderId="15" xfId="0" applyNumberFormat="1" applyFont="1" applyBorder="1"/>
    <xf numFmtId="0" fontId="1" fillId="0" borderId="38" xfId="0" applyFont="1" applyBorder="1" applyProtection="1">
      <protection locked="0"/>
    </xf>
    <xf numFmtId="0" fontId="1" fillId="10" borderId="23" xfId="0" applyFont="1" applyFill="1" applyBorder="1"/>
    <xf numFmtId="0" fontId="1" fillId="10" borderId="20" xfId="0" applyFont="1" applyFill="1" applyBorder="1"/>
    <xf numFmtId="0" fontId="1" fillId="10" borderId="19" xfId="0" applyFont="1" applyFill="1" applyBorder="1" applyProtection="1">
      <protection locked="0" hidden="1"/>
    </xf>
    <xf numFmtId="0" fontId="1" fillId="3" borderId="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10" borderId="10" xfId="0" applyFont="1" applyFill="1" applyBorder="1" applyProtection="1">
      <protection locked="0"/>
    </xf>
    <xf numFmtId="0" fontId="1" fillId="0" borderId="47" xfId="0" applyFont="1" applyBorder="1"/>
    <xf numFmtId="0" fontId="1" fillId="0" borderId="10" xfId="0" applyFont="1" applyBorder="1" applyProtection="1">
      <protection locked="0"/>
    </xf>
    <xf numFmtId="0" fontId="1" fillId="0" borderId="48" xfId="0" applyFont="1" applyBorder="1" applyProtection="1">
      <protection locked="0"/>
    </xf>
    <xf numFmtId="0" fontId="1" fillId="6" borderId="19" xfId="0" applyFont="1" applyFill="1" applyBorder="1" applyProtection="1">
      <protection locked="0" hidden="1"/>
    </xf>
    <xf numFmtId="0" fontId="1" fillId="6" borderId="1" xfId="0" applyFont="1" applyFill="1" applyBorder="1" applyProtection="1">
      <protection locked="0" hidden="1"/>
    </xf>
    <xf numFmtId="0" fontId="1" fillId="6" borderId="49" xfId="0" applyFont="1" applyFill="1" applyBorder="1" applyProtection="1">
      <protection locked="0" hidden="1"/>
    </xf>
    <xf numFmtId="0" fontId="1" fillId="6" borderId="2" xfId="0" applyFont="1" applyFill="1" applyBorder="1" applyProtection="1">
      <protection locked="0" hidden="1"/>
    </xf>
    <xf numFmtId="0" fontId="1" fillId="6" borderId="47" xfId="0" applyFont="1" applyFill="1" applyBorder="1" applyProtection="1">
      <protection locked="0" hidden="1"/>
    </xf>
    <xf numFmtId="0" fontId="1" fillId="6" borderId="4" xfId="0" applyFont="1" applyFill="1" applyBorder="1" applyProtection="1">
      <protection locked="0" hidden="1"/>
    </xf>
    <xf numFmtId="0" fontId="1" fillId="6" borderId="21" xfId="0" applyFont="1" applyFill="1" applyBorder="1" applyProtection="1">
      <protection locked="0" hidden="1"/>
    </xf>
    <xf numFmtId="0" fontId="1" fillId="6" borderId="22" xfId="0" applyFont="1" applyFill="1" applyBorder="1" applyProtection="1">
      <protection locked="0" hidden="1"/>
    </xf>
    <xf numFmtId="0" fontId="1" fillId="6" borderId="1" xfId="0" applyFont="1" applyFill="1" applyBorder="1" applyProtection="1">
      <protection locked="0"/>
    </xf>
    <xf numFmtId="0" fontId="1" fillId="6" borderId="19" xfId="0" applyFont="1" applyFill="1" applyBorder="1" applyProtection="1">
      <protection locked="0"/>
    </xf>
    <xf numFmtId="0" fontId="1" fillId="6" borderId="21" xfId="0" applyFont="1" applyFill="1" applyBorder="1" applyProtection="1">
      <protection locked="0"/>
    </xf>
    <xf numFmtId="0" fontId="1" fillId="6" borderId="4" xfId="0" applyFont="1" applyFill="1" applyBorder="1" applyProtection="1">
      <protection locked="0"/>
    </xf>
    <xf numFmtId="0" fontId="1" fillId="14" borderId="6" xfId="0" applyFont="1" applyFill="1" applyBorder="1"/>
    <xf numFmtId="0" fontId="1" fillId="14" borderId="7" xfId="0" applyFont="1" applyFill="1" applyBorder="1"/>
    <xf numFmtId="0" fontId="1" fillId="14" borderId="8" xfId="0" applyFont="1" applyFill="1" applyBorder="1"/>
    <xf numFmtId="0" fontId="1" fillId="10" borderId="2" xfId="0" applyFont="1" applyFill="1" applyBorder="1" applyProtection="1">
      <protection locked="0"/>
    </xf>
    <xf numFmtId="0" fontId="1" fillId="10" borderId="25" xfId="0" applyFont="1" applyFill="1" applyBorder="1" applyProtection="1">
      <protection locked="0" hidden="1"/>
    </xf>
    <xf numFmtId="0" fontId="10" fillId="0" borderId="4" xfId="0" applyFont="1" applyBorder="1"/>
    <xf numFmtId="1" fontId="10" fillId="0" borderId="17" xfId="0" applyNumberFormat="1" applyFont="1" applyBorder="1"/>
    <xf numFmtId="1" fontId="10" fillId="0" borderId="51" xfId="0" applyNumberFormat="1" applyFont="1" applyBorder="1"/>
    <xf numFmtId="0" fontId="10" fillId="0" borderId="51" xfId="0" applyFont="1" applyBorder="1"/>
    <xf numFmtId="1" fontId="10" fillId="0" borderId="18" xfId="0" applyNumberFormat="1" applyFont="1" applyBorder="1"/>
    <xf numFmtId="0" fontId="14" fillId="14" borderId="6" xfId="0" applyFont="1" applyFill="1" applyBorder="1"/>
    <xf numFmtId="0" fontId="14" fillId="14" borderId="7" xfId="0" applyFont="1" applyFill="1" applyBorder="1"/>
    <xf numFmtId="0" fontId="14" fillId="14" borderId="8" xfId="0" applyFont="1" applyFill="1" applyBorder="1"/>
    <xf numFmtId="0" fontId="6" fillId="0" borderId="22" xfId="0" applyFont="1" applyBorder="1"/>
    <xf numFmtId="0" fontId="1" fillId="15" borderId="36" xfId="0" applyFont="1" applyFill="1" applyBorder="1"/>
    <xf numFmtId="0" fontId="1" fillId="12" borderId="6" xfId="0" applyFont="1" applyFill="1" applyBorder="1" applyAlignment="1">
      <alignment horizontal="center"/>
    </xf>
    <xf numFmtId="0" fontId="1" fillId="12" borderId="8" xfId="0" applyFont="1" applyFill="1" applyBorder="1" applyAlignment="1">
      <alignment horizontal="center"/>
    </xf>
    <xf numFmtId="0" fontId="7" fillId="6" borderId="1" xfId="0" applyFont="1" applyFill="1" applyBorder="1"/>
    <xf numFmtId="0" fontId="1" fillId="6" borderId="19" xfId="0" applyFont="1" applyFill="1" applyBorder="1"/>
    <xf numFmtId="0" fontId="6" fillId="6" borderId="37" xfId="0" applyFont="1" applyFill="1" applyBorder="1"/>
    <xf numFmtId="0" fontId="6" fillId="6" borderId="52" xfId="0" applyFont="1" applyFill="1" applyBorder="1"/>
    <xf numFmtId="0" fontId="4" fillId="6" borderId="1" xfId="0" applyFont="1" applyFill="1" applyBorder="1" applyProtection="1">
      <protection locked="0"/>
    </xf>
    <xf numFmtId="0" fontId="4" fillId="6" borderId="22" xfId="0" applyFont="1" applyFill="1" applyBorder="1" applyProtection="1">
      <protection locked="0"/>
    </xf>
    <xf numFmtId="0" fontId="8" fillId="0" borderId="0" xfId="0" applyFont="1"/>
    <xf numFmtId="0" fontId="8" fillId="6" borderId="0" xfId="0" applyFont="1" applyFill="1"/>
    <xf numFmtId="0" fontId="8" fillId="17" borderId="0" xfId="0" applyFont="1" applyFill="1"/>
    <xf numFmtId="1" fontId="1" fillId="0" borderId="22" xfId="0" applyNumberFormat="1" applyFont="1" applyBorder="1"/>
    <xf numFmtId="0" fontId="1" fillId="10" borderId="21" xfId="0" applyFont="1" applyFill="1" applyBorder="1"/>
    <xf numFmtId="0" fontId="1" fillId="0" borderId="58" xfId="0" applyFont="1" applyBorder="1"/>
    <xf numFmtId="0" fontId="1" fillId="0" borderId="59" xfId="0" applyFont="1" applyBorder="1"/>
    <xf numFmtId="0" fontId="1" fillId="0" borderId="35" xfId="0" applyFont="1" applyBorder="1"/>
    <xf numFmtId="0" fontId="8" fillId="14" borderId="0" xfId="0" applyFont="1" applyFill="1"/>
    <xf numFmtId="0" fontId="1" fillId="0" borderId="60" xfId="0" applyFont="1" applyBorder="1" applyProtection="1">
      <protection locked="0"/>
    </xf>
    <xf numFmtId="0" fontId="1" fillId="0" borderId="61" xfId="0" applyFont="1" applyBorder="1"/>
    <xf numFmtId="0" fontId="1" fillId="17" borderId="56" xfId="0" applyFont="1" applyFill="1" applyBorder="1"/>
    <xf numFmtId="0" fontId="1" fillId="0" borderId="62" xfId="0" applyFont="1" applyBorder="1"/>
    <xf numFmtId="0" fontId="1" fillId="17" borderId="28" xfId="0" applyFont="1" applyFill="1" applyBorder="1"/>
    <xf numFmtId="0" fontId="6" fillId="0" borderId="0" xfId="0" applyFont="1"/>
    <xf numFmtId="0" fontId="4" fillId="18" borderId="1" xfId="0" applyFont="1" applyFill="1" applyBorder="1"/>
    <xf numFmtId="0" fontId="17" fillId="0" borderId="63" xfId="0" applyFont="1" applyBorder="1" applyAlignment="1">
      <alignment wrapText="1"/>
    </xf>
    <xf numFmtId="0" fontId="21" fillId="0" borderId="66" xfId="0" applyFont="1" applyBorder="1" applyAlignment="1">
      <alignment vertical="center" wrapText="1"/>
    </xf>
    <xf numFmtId="0" fontId="21" fillId="0" borderId="67" xfId="0" applyFont="1" applyBorder="1" applyAlignment="1">
      <alignment vertical="center" wrapText="1"/>
    </xf>
    <xf numFmtId="0" fontId="17" fillId="20" borderId="71" xfId="0" applyFont="1" applyFill="1" applyBorder="1" applyAlignment="1">
      <alignment wrapText="1"/>
    </xf>
    <xf numFmtId="0" fontId="23" fillId="6" borderId="72" xfId="0" applyFont="1" applyFill="1" applyBorder="1" applyAlignment="1">
      <alignment vertical="center"/>
    </xf>
    <xf numFmtId="0" fontId="23" fillId="19" borderId="74" xfId="0" applyFont="1" applyFill="1" applyBorder="1" applyAlignment="1">
      <alignment vertical="center"/>
    </xf>
    <xf numFmtId="0" fontId="21" fillId="0" borderId="75" xfId="0" applyFont="1" applyBorder="1" applyAlignment="1">
      <alignment vertical="center" wrapText="1"/>
    </xf>
    <xf numFmtId="0" fontId="23" fillId="6" borderId="76" xfId="0" applyFont="1" applyFill="1" applyBorder="1" applyAlignment="1">
      <alignment vertical="center"/>
    </xf>
    <xf numFmtId="0" fontId="21" fillId="0" borderId="77" xfId="0" applyFont="1" applyBorder="1" applyAlignment="1">
      <alignment vertical="center" wrapText="1"/>
    </xf>
    <xf numFmtId="0" fontId="23" fillId="0" borderId="74" xfId="0" applyFont="1" applyBorder="1" applyAlignment="1">
      <alignment vertical="center"/>
    </xf>
    <xf numFmtId="0" fontId="23" fillId="0" borderId="78" xfId="0" applyFont="1" applyBorder="1" applyAlignment="1">
      <alignment vertical="center"/>
    </xf>
    <xf numFmtId="0" fontId="19" fillId="0" borderId="1" xfId="0" applyFont="1" applyBorder="1" applyAlignment="1">
      <alignment horizontal="center" wrapText="1"/>
    </xf>
    <xf numFmtId="0" fontId="24" fillId="0" borderId="19" xfId="0" applyFont="1" applyBorder="1" applyAlignment="1">
      <alignment vertical="center"/>
    </xf>
    <xf numFmtId="0" fontId="17" fillId="20" borderId="87" xfId="0" applyFont="1" applyFill="1" applyBorder="1" applyAlignment="1">
      <alignment wrapText="1"/>
    </xf>
    <xf numFmtId="0" fontId="17" fillId="20" borderId="88" xfId="0" applyFont="1" applyFill="1" applyBorder="1" applyAlignment="1">
      <alignment wrapText="1"/>
    </xf>
    <xf numFmtId="0" fontId="22" fillId="0" borderId="74" xfId="0" applyFont="1" applyBorder="1" applyAlignment="1">
      <alignment vertical="center"/>
    </xf>
    <xf numFmtId="0" fontId="18" fillId="0" borderId="74" xfId="0" applyFont="1" applyBorder="1" applyAlignment="1">
      <alignment vertical="center"/>
    </xf>
    <xf numFmtId="0" fontId="26" fillId="0" borderId="86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25" fillId="0" borderId="8" xfId="0" applyFont="1" applyBorder="1" applyAlignment="1">
      <alignment wrapText="1"/>
    </xf>
    <xf numFmtId="0" fontId="17" fillId="0" borderId="92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95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7" fillId="0" borderId="96" xfId="0" applyFont="1" applyBorder="1" applyAlignment="1">
      <alignment wrapText="1"/>
    </xf>
    <xf numFmtId="0" fontId="1" fillId="0" borderId="3" xfId="0" applyFont="1" applyBorder="1"/>
    <xf numFmtId="0" fontId="1" fillId="0" borderId="1" xfId="0" applyFont="1" applyBorder="1" applyAlignment="1">
      <alignment horizontal="right"/>
    </xf>
    <xf numFmtId="0" fontId="1" fillId="5" borderId="1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4" fontId="1" fillId="0" borderId="42" xfId="0" applyNumberFormat="1" applyFont="1" applyBorder="1"/>
    <xf numFmtId="164" fontId="1" fillId="0" borderId="9" xfId="0" applyNumberFormat="1" applyFont="1" applyBorder="1"/>
    <xf numFmtId="164" fontId="1" fillId="0" borderId="12" xfId="0" applyNumberFormat="1" applyFont="1" applyBorder="1"/>
    <xf numFmtId="164" fontId="1" fillId="0" borderId="14" xfId="0" applyNumberFormat="1" applyFont="1" applyBorder="1"/>
    <xf numFmtId="164" fontId="1" fillId="0" borderId="1" xfId="0" applyNumberFormat="1" applyFont="1" applyBorder="1"/>
    <xf numFmtId="164" fontId="1" fillId="0" borderId="2" xfId="0" applyNumberFormat="1" applyFont="1" applyBorder="1"/>
    <xf numFmtId="164" fontId="1" fillId="6" borderId="1" xfId="0" applyNumberFormat="1" applyFont="1" applyFill="1" applyBorder="1" applyProtection="1">
      <protection locked="0" hidden="1"/>
    </xf>
    <xf numFmtId="164" fontId="1" fillId="6" borderId="2" xfId="0" applyNumberFormat="1" applyFont="1" applyFill="1" applyBorder="1" applyProtection="1">
      <protection locked="0" hidden="1"/>
    </xf>
    <xf numFmtId="164" fontId="1" fillId="6" borderId="4" xfId="0" applyNumberFormat="1" applyFont="1" applyFill="1" applyBorder="1" applyProtection="1">
      <protection locked="0" hidden="1"/>
    </xf>
    <xf numFmtId="164" fontId="1" fillId="0" borderId="4" xfId="0" applyNumberFormat="1" applyFont="1" applyBorder="1"/>
    <xf numFmtId="164" fontId="1" fillId="6" borderId="22" xfId="0" applyNumberFormat="1" applyFont="1" applyFill="1" applyBorder="1" applyProtection="1">
      <protection locked="0" hidden="1"/>
    </xf>
    <xf numFmtId="164" fontId="1" fillId="0" borderId="22" xfId="0" applyNumberFormat="1" applyFont="1" applyBorder="1"/>
    <xf numFmtId="165" fontId="1" fillId="6" borderId="1" xfId="0" applyNumberFormat="1" applyFont="1" applyFill="1" applyBorder="1" applyProtection="1">
      <protection locked="0"/>
    </xf>
    <xf numFmtId="164" fontId="1" fillId="6" borderId="1" xfId="0" applyNumberFormat="1" applyFont="1" applyFill="1" applyBorder="1" applyProtection="1">
      <protection locked="0"/>
    </xf>
    <xf numFmtId="164" fontId="1" fillId="6" borderId="4" xfId="0" applyNumberFormat="1" applyFont="1" applyFill="1" applyBorder="1" applyProtection="1">
      <protection locked="0"/>
    </xf>
    <xf numFmtId="164" fontId="1" fillId="6" borderId="22" xfId="0" applyNumberFormat="1" applyFont="1" applyFill="1" applyBorder="1" applyProtection="1">
      <protection locked="0"/>
    </xf>
    <xf numFmtId="164" fontId="1" fillId="6" borderId="1" xfId="0" applyNumberFormat="1" applyFont="1" applyFill="1" applyBorder="1"/>
    <xf numFmtId="164" fontId="1" fillId="0" borderId="0" xfId="0" applyNumberFormat="1" applyFont="1" applyProtection="1">
      <protection locked="0"/>
    </xf>
    <xf numFmtId="164" fontId="1" fillId="0" borderId="13" xfId="0" applyNumberFormat="1" applyFont="1" applyBorder="1"/>
    <xf numFmtId="164" fontId="1" fillId="0" borderId="11" xfId="0" applyNumberFormat="1" applyFont="1" applyBorder="1"/>
    <xf numFmtId="164" fontId="0" fillId="0" borderId="0" xfId="0" applyNumberFormat="1"/>
    <xf numFmtId="164" fontId="1" fillId="0" borderId="46" xfId="0" applyNumberFormat="1" applyFont="1" applyBorder="1"/>
    <xf numFmtId="164" fontId="1" fillId="10" borderId="1" xfId="0" applyNumberFormat="1" applyFont="1" applyFill="1" applyBorder="1" applyProtection="1">
      <protection locked="0"/>
    </xf>
    <xf numFmtId="164" fontId="1" fillId="0" borderId="38" xfId="0" applyNumberFormat="1" applyFont="1" applyBorder="1"/>
    <xf numFmtId="164" fontId="1" fillId="6" borderId="37" xfId="0" applyNumberFormat="1" applyFont="1" applyFill="1" applyBorder="1" applyProtection="1">
      <protection locked="0"/>
    </xf>
    <xf numFmtId="164" fontId="1" fillId="0" borderId="20" xfId="0" applyNumberFormat="1" applyFont="1" applyBorder="1"/>
    <xf numFmtId="164" fontId="1" fillId="6" borderId="20" xfId="0" applyNumberFormat="1" applyFont="1" applyFill="1" applyBorder="1" applyProtection="1">
      <protection locked="0"/>
    </xf>
    <xf numFmtId="0" fontId="28" fillId="0" borderId="0" xfId="0" applyFont="1"/>
    <xf numFmtId="0" fontId="28" fillId="0" borderId="0" xfId="0" applyFont="1" applyProtection="1">
      <protection locked="0"/>
    </xf>
    <xf numFmtId="0" fontId="27" fillId="0" borderId="0" xfId="0" applyFont="1"/>
    <xf numFmtId="164" fontId="28" fillId="0" borderId="0" xfId="0" applyNumberFormat="1" applyFont="1"/>
    <xf numFmtId="0" fontId="28" fillId="0" borderId="0" xfId="0" applyFont="1" applyAlignment="1">
      <alignment horizontal="center"/>
    </xf>
    <xf numFmtId="0" fontId="15" fillId="0" borderId="1" xfId="0" applyFont="1" applyBorder="1" applyAlignment="1">
      <alignment vertical="center"/>
    </xf>
    <xf numFmtId="164" fontId="1" fillId="6" borderId="2" xfId="0" applyNumberFormat="1" applyFont="1" applyFill="1" applyBorder="1" applyProtection="1">
      <protection locked="0"/>
    </xf>
    <xf numFmtId="166" fontId="1" fillId="0" borderId="33" xfId="0" applyNumberFormat="1" applyFont="1" applyBorder="1"/>
    <xf numFmtId="166" fontId="1" fillId="0" borderId="28" xfId="0" applyNumberFormat="1" applyFont="1" applyBorder="1"/>
    <xf numFmtId="166" fontId="1" fillId="0" borderId="1" xfId="0" applyNumberFormat="1" applyFont="1" applyBorder="1"/>
    <xf numFmtId="164" fontId="10" fillId="0" borderId="1" xfId="0" applyNumberFormat="1" applyFont="1" applyBorder="1"/>
    <xf numFmtId="166" fontId="1" fillId="0" borderId="38" xfId="0" applyNumberFormat="1" applyFont="1" applyBorder="1"/>
    <xf numFmtId="166" fontId="1" fillId="0" borderId="37" xfId="0" applyNumberFormat="1" applyFont="1" applyBorder="1"/>
    <xf numFmtId="166" fontId="6" fillId="0" borderId="23" xfId="0" applyNumberFormat="1" applyFont="1" applyBorder="1"/>
    <xf numFmtId="164" fontId="1" fillId="6" borderId="22" xfId="0" applyNumberFormat="1" applyFont="1" applyFill="1" applyBorder="1"/>
    <xf numFmtId="164" fontId="1" fillId="0" borderId="22" xfId="0" applyNumberFormat="1" applyFont="1" applyBorder="1" applyProtection="1">
      <protection locked="0"/>
    </xf>
    <xf numFmtId="164" fontId="1" fillId="0" borderId="54" xfId="0" applyNumberFormat="1" applyFont="1" applyBorder="1"/>
    <xf numFmtId="164" fontId="1" fillId="0" borderId="24" xfId="0" applyNumberFormat="1" applyFont="1" applyBorder="1"/>
    <xf numFmtId="164" fontId="1" fillId="0" borderId="16" xfId="0" applyNumberFormat="1" applyFont="1" applyBorder="1"/>
    <xf numFmtId="165" fontId="1" fillId="0" borderId="22" xfId="0" applyNumberFormat="1" applyFont="1" applyBorder="1" applyProtection="1">
      <protection locked="0"/>
    </xf>
    <xf numFmtId="165" fontId="1" fillId="0" borderId="38" xfId="0" applyNumberFormat="1" applyFont="1" applyBorder="1"/>
    <xf numFmtId="164" fontId="7" fillId="0" borderId="0" xfId="0" applyNumberFormat="1" applyFont="1"/>
    <xf numFmtId="164" fontId="7" fillId="6" borderId="1" xfId="0" applyNumberFormat="1" applyFont="1" applyFill="1" applyBorder="1"/>
    <xf numFmtId="164" fontId="7" fillId="0" borderId="1" xfId="0" applyNumberFormat="1" applyFont="1" applyBorder="1"/>
    <xf numFmtId="164" fontId="1" fillId="6" borderId="19" xfId="0" applyNumberFormat="1" applyFont="1" applyFill="1" applyBorder="1"/>
    <xf numFmtId="164" fontId="1" fillId="0" borderId="19" xfId="0" applyNumberFormat="1" applyFont="1" applyBorder="1"/>
    <xf numFmtId="164" fontId="1" fillId="0" borderId="21" xfId="0" applyNumberFormat="1" applyFont="1" applyBorder="1"/>
    <xf numFmtId="165" fontId="1" fillId="0" borderId="1" xfId="0" applyNumberFormat="1" applyFont="1" applyBorder="1" applyProtection="1">
      <protection locked="0"/>
    </xf>
    <xf numFmtId="166" fontId="4" fillId="0" borderId="19" xfId="0" applyNumberFormat="1" applyFont="1" applyBorder="1"/>
    <xf numFmtId="166" fontId="4" fillId="0" borderId="21" xfId="0" applyNumberFormat="1" applyFont="1" applyBorder="1"/>
    <xf numFmtId="166" fontId="4" fillId="0" borderId="20" xfId="0" applyNumberFormat="1" applyFont="1" applyBorder="1"/>
    <xf numFmtId="166" fontId="4" fillId="0" borderId="23" xfId="0" applyNumberFormat="1" applyFont="1" applyBorder="1"/>
    <xf numFmtId="166" fontId="4" fillId="0" borderId="28" xfId="0" applyNumberFormat="1" applyFont="1" applyBorder="1"/>
    <xf numFmtId="164" fontId="4" fillId="6" borderId="1" xfId="0" applyNumberFormat="1" applyFont="1" applyFill="1" applyBorder="1" applyProtection="1">
      <protection locked="0"/>
    </xf>
    <xf numFmtId="164" fontId="4" fillId="6" borderId="22" xfId="0" applyNumberFormat="1" applyFont="1" applyFill="1" applyBorder="1" applyProtection="1">
      <protection locked="0"/>
    </xf>
    <xf numFmtId="166" fontId="1" fillId="0" borderId="0" xfId="0" applyNumberFormat="1" applyFont="1"/>
    <xf numFmtId="164" fontId="1" fillId="0" borderId="40" xfId="0" applyNumberFormat="1" applyFont="1" applyBorder="1"/>
    <xf numFmtId="0" fontId="1" fillId="1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6" xfId="0" applyFont="1" applyBorder="1" applyAlignment="1" applyProtection="1">
      <alignment horizontal="center"/>
      <protection locked="0" hidden="1"/>
    </xf>
    <xf numFmtId="0" fontId="1" fillId="0" borderId="7" xfId="0" applyFont="1" applyBorder="1" applyAlignment="1" applyProtection="1">
      <alignment horizontal="center"/>
      <protection locked="0" hidden="1"/>
    </xf>
    <xf numFmtId="0" fontId="1" fillId="0" borderId="8" xfId="0" applyFont="1" applyBorder="1" applyAlignment="1" applyProtection="1">
      <alignment horizontal="center"/>
      <protection locked="0" hidden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1" fillId="11" borderId="1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6" xfId="0" applyFont="1" applyFill="1" applyBorder="1" applyAlignment="1">
      <alignment horizontal="center"/>
    </xf>
    <xf numFmtId="0" fontId="1" fillId="11" borderId="12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0" fontId="1" fillId="12" borderId="12" xfId="0" applyFont="1" applyFill="1" applyBorder="1" applyAlignment="1">
      <alignment horizontal="center"/>
    </xf>
    <xf numFmtId="0" fontId="1" fillId="12" borderId="13" xfId="0" applyFont="1" applyFill="1" applyBorder="1" applyAlignment="1">
      <alignment horizontal="center"/>
    </xf>
    <xf numFmtId="0" fontId="1" fillId="12" borderId="14" xfId="0" applyFont="1" applyFill="1" applyBorder="1" applyAlignment="1">
      <alignment horizontal="center"/>
    </xf>
    <xf numFmtId="0" fontId="1" fillId="12" borderId="15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1" fillId="13" borderId="11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1" fillId="14" borderId="6" xfId="0" applyFont="1" applyFill="1" applyBorder="1" applyAlignment="1">
      <alignment horizontal="center"/>
    </xf>
    <xf numFmtId="0" fontId="1" fillId="14" borderId="7" xfId="0" applyFont="1" applyFill="1" applyBorder="1" applyAlignment="1">
      <alignment horizontal="center"/>
    </xf>
    <xf numFmtId="0" fontId="1" fillId="14" borderId="8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9" xfId="0" applyFont="1" applyBorder="1" applyAlignment="1" applyProtection="1">
      <alignment horizontal="center"/>
      <protection locked="0" hidden="1"/>
    </xf>
    <xf numFmtId="0" fontId="1" fillId="0" borderId="30" xfId="0" applyFont="1" applyBorder="1" applyAlignment="1" applyProtection="1">
      <alignment horizontal="center"/>
      <protection locked="0" hidden="1"/>
    </xf>
    <xf numFmtId="0" fontId="1" fillId="9" borderId="52" xfId="0" applyFont="1" applyFill="1" applyBorder="1" applyAlignment="1">
      <alignment horizontal="center"/>
    </xf>
    <xf numFmtId="0" fontId="1" fillId="9" borderId="29" xfId="0" applyFont="1" applyFill="1" applyBorder="1" applyAlignment="1">
      <alignment horizontal="center"/>
    </xf>
    <xf numFmtId="0" fontId="1" fillId="15" borderId="6" xfId="0" applyFont="1" applyFill="1" applyBorder="1" applyAlignment="1">
      <alignment horizontal="center"/>
    </xf>
    <xf numFmtId="0" fontId="1" fillId="15" borderId="7" xfId="0" applyFont="1" applyFill="1" applyBorder="1" applyAlignment="1">
      <alignment horizontal="center"/>
    </xf>
    <xf numFmtId="0" fontId="1" fillId="15" borderId="8" xfId="0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164" fontId="1" fillId="0" borderId="40" xfId="0" applyNumberFormat="1" applyFont="1" applyBorder="1" applyAlignment="1">
      <alignment horizontal="center"/>
    </xf>
    <xf numFmtId="164" fontId="1" fillId="0" borderId="42" xfId="0" applyNumberFormat="1" applyFont="1" applyBorder="1" applyAlignment="1">
      <alignment horizontal="center"/>
    </xf>
    <xf numFmtId="0" fontId="10" fillId="9" borderId="6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1" fontId="1" fillId="9" borderId="6" xfId="0" applyNumberFormat="1" applyFont="1" applyFill="1" applyBorder="1" applyAlignment="1">
      <alignment horizontal="center"/>
    </xf>
    <xf numFmtId="1" fontId="1" fillId="9" borderId="7" xfId="0" applyNumberFormat="1" applyFont="1" applyFill="1" applyBorder="1" applyAlignment="1">
      <alignment horizontal="center"/>
    </xf>
    <xf numFmtId="1" fontId="1" fillId="9" borderId="8" xfId="0" applyNumberFormat="1" applyFont="1" applyFill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57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164" fontId="10" fillId="0" borderId="40" xfId="0" applyNumberFormat="1" applyFont="1" applyBorder="1" applyAlignment="1">
      <alignment horizontal="center"/>
    </xf>
    <xf numFmtId="164" fontId="10" fillId="0" borderId="4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14" borderId="36" xfId="0" applyFont="1" applyFill="1" applyBorder="1" applyAlignment="1">
      <alignment horizontal="center"/>
    </xf>
    <xf numFmtId="0" fontId="1" fillId="14" borderId="38" xfId="0" applyFont="1" applyFill="1" applyBorder="1" applyAlignment="1">
      <alignment horizontal="center"/>
    </xf>
    <xf numFmtId="0" fontId="1" fillId="14" borderId="25" xfId="0" applyFont="1" applyFill="1" applyBorder="1" applyAlignment="1">
      <alignment horizontal="center"/>
    </xf>
    <xf numFmtId="0" fontId="1" fillId="14" borderId="26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12" borderId="16" xfId="0" applyFont="1" applyFill="1" applyBorder="1" applyAlignment="1">
      <alignment horizontal="center"/>
    </xf>
    <xf numFmtId="0" fontId="1" fillId="16" borderId="9" xfId="0" applyFont="1" applyFill="1" applyBorder="1" applyAlignment="1">
      <alignment horizontal="center"/>
    </xf>
    <xf numFmtId="0" fontId="1" fillId="16" borderId="11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7" fillId="9" borderId="12" xfId="0" applyFont="1" applyFill="1" applyBorder="1" applyAlignment="1">
      <alignment horizontal="center"/>
    </xf>
    <xf numFmtId="0" fontId="7" fillId="9" borderId="0" xfId="0" applyFont="1" applyFill="1" applyAlignment="1">
      <alignment horizontal="center"/>
    </xf>
    <xf numFmtId="0" fontId="7" fillId="9" borderId="13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9" borderId="14" xfId="0" applyFont="1" applyFill="1" applyBorder="1" applyAlignment="1">
      <alignment horizontal="center"/>
    </xf>
    <xf numFmtId="0" fontId="7" fillId="9" borderId="15" xfId="0" applyFont="1" applyFill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4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2" xfId="0" applyBorder="1" applyAlignment="1">
      <alignment horizontal="center"/>
    </xf>
    <xf numFmtId="0" fontId="20" fillId="0" borderId="6" xfId="0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0" fontId="20" fillId="0" borderId="8" xfId="0" applyFont="1" applyBorder="1" applyAlignment="1">
      <alignment horizontal="center" wrapText="1"/>
    </xf>
    <xf numFmtId="0" fontId="25" fillId="0" borderId="68" xfId="0" applyFont="1" applyBorder="1" applyAlignment="1">
      <alignment horizontal="center"/>
    </xf>
    <xf numFmtId="0" fontId="25" fillId="0" borderId="89" xfId="0" applyFont="1" applyBorder="1" applyAlignment="1">
      <alignment horizontal="center"/>
    </xf>
    <xf numFmtId="0" fontId="25" fillId="0" borderId="70" xfId="0" applyFont="1" applyBorder="1" applyAlignment="1">
      <alignment horizontal="center" wrapText="1"/>
    </xf>
    <xf numFmtId="0" fontId="25" fillId="0" borderId="90" xfId="0" applyFont="1" applyBorder="1" applyAlignment="1">
      <alignment horizontal="center" wrapText="1"/>
    </xf>
    <xf numFmtId="0" fontId="18" fillId="0" borderId="93" xfId="0" applyFont="1" applyBorder="1" applyAlignment="1">
      <alignment horizontal="center" vertical="center"/>
    </xf>
    <xf numFmtId="0" fontId="18" fillId="0" borderId="94" xfId="0" applyFont="1" applyBorder="1" applyAlignment="1">
      <alignment horizontal="center" vertical="center"/>
    </xf>
    <xf numFmtId="0" fontId="17" fillId="0" borderId="64" xfId="0" applyFont="1" applyBorder="1" applyAlignment="1">
      <alignment wrapText="1"/>
    </xf>
    <xf numFmtId="0" fontId="17" fillId="0" borderId="79" xfId="0" applyFont="1" applyBorder="1" applyAlignment="1">
      <alignment wrapText="1"/>
    </xf>
    <xf numFmtId="0" fontId="21" fillId="0" borderId="67" xfId="0" applyFont="1" applyBorder="1" applyAlignment="1">
      <alignment vertical="center" wrapText="1"/>
    </xf>
    <xf numFmtId="0" fontId="21" fillId="0" borderId="77" xfId="0" applyFont="1" applyBorder="1" applyAlignment="1">
      <alignment vertical="center" wrapText="1"/>
    </xf>
    <xf numFmtId="0" fontId="21" fillId="0" borderId="80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67" xfId="0" applyFont="1" applyBorder="1" applyAlignment="1">
      <alignment vertical="top" wrapText="1"/>
    </xf>
    <xf numFmtId="0" fontId="21" fillId="0" borderId="77" xfId="0" applyFont="1" applyBorder="1" applyAlignment="1">
      <alignment vertical="top" wrapText="1"/>
    </xf>
    <xf numFmtId="0" fontId="17" fillId="0" borderId="85" xfId="0" applyFont="1" applyBorder="1" applyAlignment="1">
      <alignment wrapText="1"/>
    </xf>
    <xf numFmtId="0" fontId="18" fillId="0" borderId="64" xfId="0" applyFont="1" applyBorder="1" applyAlignment="1">
      <alignment vertical="center" wrapText="1"/>
    </xf>
    <xf numFmtId="0" fontId="18" fillId="0" borderId="85" xfId="0" applyFont="1" applyBorder="1" applyAlignment="1">
      <alignment vertical="center" wrapText="1"/>
    </xf>
    <xf numFmtId="0" fontId="25" fillId="0" borderId="69" xfId="0" applyFont="1" applyBorder="1" applyAlignment="1">
      <alignment horizontal="center" wrapText="1"/>
    </xf>
    <xf numFmtId="0" fontId="25" fillId="0" borderId="91" xfId="0" applyFont="1" applyBorder="1" applyAlignment="1">
      <alignment horizontal="center" wrapText="1"/>
    </xf>
    <xf numFmtId="0" fontId="17" fillId="0" borderId="65" xfId="0" applyFont="1" applyBorder="1" applyAlignment="1">
      <alignment wrapText="1"/>
    </xf>
    <xf numFmtId="0" fontId="21" fillId="0" borderId="66" xfId="0" applyFont="1" applyBorder="1" applyAlignment="1">
      <alignment vertical="center" wrapText="1"/>
    </xf>
    <xf numFmtId="0" fontId="21" fillId="0" borderId="75" xfId="0" applyFont="1" applyBorder="1" applyAlignment="1">
      <alignment vertical="center" wrapText="1"/>
    </xf>
    <xf numFmtId="0" fontId="18" fillId="0" borderId="81" xfId="0" applyFont="1" applyBorder="1" applyAlignment="1">
      <alignment wrapText="1"/>
    </xf>
    <xf numFmtId="0" fontId="18" fillId="0" borderId="82" xfId="0" applyFont="1" applyBorder="1" applyAlignment="1">
      <alignment wrapText="1"/>
    </xf>
    <xf numFmtId="0" fontId="18" fillId="0" borderId="83" xfId="0" applyFont="1" applyBorder="1" applyAlignment="1">
      <alignment wrapText="1"/>
    </xf>
    <xf numFmtId="0" fontId="18" fillId="0" borderId="84" xfId="0" applyFont="1" applyBorder="1" applyAlignment="1">
      <alignment wrapText="1"/>
    </xf>
    <xf numFmtId="0" fontId="21" fillId="0" borderId="73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17" fillId="0" borderId="61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image" Target="../media/image17.jpeg"/><Relationship Id="rId1" Type="http://schemas.openxmlformats.org/officeDocument/2006/relationships/image" Target="../media/image4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jpeg"/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66264</xdr:colOff>
      <xdr:row>0</xdr:row>
      <xdr:rowOff>133350</xdr:rowOff>
    </xdr:from>
    <xdr:to>
      <xdr:col>18</xdr:col>
      <xdr:colOff>484560</xdr:colOff>
      <xdr:row>12</xdr:row>
      <xdr:rowOff>46659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C65C29-153D-D907-D944-8D0FDD262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339" y="133350"/>
          <a:ext cx="3952071" cy="3142284"/>
        </a:xfrm>
        <a:prstGeom prst="rect">
          <a:avLst/>
        </a:prstGeom>
      </xdr:spPr>
    </xdr:pic>
    <xdr:clientData/>
  </xdr:twoCellAnchor>
  <xdr:twoCellAnchor editAs="oneCell">
    <xdr:from>
      <xdr:col>14</xdr:col>
      <xdr:colOff>142875</xdr:colOff>
      <xdr:row>17</xdr:row>
      <xdr:rowOff>228600</xdr:rowOff>
    </xdr:from>
    <xdr:to>
      <xdr:col>16</xdr:col>
      <xdr:colOff>101906</xdr:colOff>
      <xdr:row>27</xdr:row>
      <xdr:rowOff>104006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315878-D4A9-A918-64FA-217FEAEC2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29950" y="4810125"/>
          <a:ext cx="2273606" cy="25995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18913</xdr:colOff>
      <xdr:row>0</xdr:row>
      <xdr:rowOff>0</xdr:rowOff>
    </xdr:from>
    <xdr:to>
      <xdr:col>12</xdr:col>
      <xdr:colOff>438150</xdr:colOff>
      <xdr:row>5</xdr:row>
      <xdr:rowOff>40672</xdr:rowOff>
    </xdr:to>
    <xdr:pic>
      <xdr:nvPicPr>
        <xdr:cNvPr id="2" name="Picture 1" descr="ColorBond Gate Complete New Style 910mm x 1800mm Slate Grey/Woodland Grey">
          <a:extLst>
            <a:ext uri="{FF2B5EF4-FFF2-40B4-BE49-F238E27FC236}">
              <a16:creationId xmlns:a16="http://schemas.microsoft.com/office/drawing/2014/main" id="{A174731C-34B0-8C51-3405-CE414782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263" y="0"/>
          <a:ext cx="1028837" cy="1307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28575</xdr:rowOff>
    </xdr:from>
    <xdr:to>
      <xdr:col>1</xdr:col>
      <xdr:colOff>402031</xdr:colOff>
      <xdr:row>24</xdr:row>
      <xdr:rowOff>18529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1E8F04-87E1-27D3-428B-0F3BAEBE4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90950"/>
          <a:ext cx="2535631" cy="265695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4800599</xdr:colOff>
      <xdr:row>0</xdr:row>
      <xdr:rowOff>0</xdr:rowOff>
    </xdr:from>
    <xdr:to>
      <xdr:col>3</xdr:col>
      <xdr:colOff>495300</xdr:colOff>
      <xdr:row>0</xdr:row>
      <xdr:rowOff>443165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DFAF27-A06C-7D62-84E5-6D5D88A91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599" y="0"/>
          <a:ext cx="2228851" cy="443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9526</xdr:colOff>
      <xdr:row>0</xdr:row>
      <xdr:rowOff>38099</xdr:rowOff>
    </xdr:from>
    <xdr:to>
      <xdr:col>17</xdr:col>
      <xdr:colOff>335136</xdr:colOff>
      <xdr:row>14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4A644F-AD09-6F4F-DCE8-1D367D40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96651" y="38099"/>
          <a:ext cx="3373610" cy="37338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9526</xdr:colOff>
      <xdr:row>0</xdr:row>
      <xdr:rowOff>238125</xdr:rowOff>
    </xdr:from>
    <xdr:to>
      <xdr:col>2</xdr:col>
      <xdr:colOff>981075</xdr:colOff>
      <xdr:row>3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2DACD1-1305-C0F4-5E7C-77FF31251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6" y="238125"/>
          <a:ext cx="971549" cy="666750"/>
        </a:xfrm>
        <a:prstGeom prst="rect">
          <a:avLst/>
        </a:prstGeom>
      </xdr:spPr>
    </xdr:pic>
    <xdr:clientData/>
  </xdr:twoCellAnchor>
  <xdr:twoCellAnchor editAs="oneCell">
    <xdr:from>
      <xdr:col>2</xdr:col>
      <xdr:colOff>19520</xdr:colOff>
      <xdr:row>18</xdr:row>
      <xdr:rowOff>161924</xdr:rowOff>
    </xdr:from>
    <xdr:to>
      <xdr:col>2</xdr:col>
      <xdr:colOff>989430</xdr:colOff>
      <xdr:row>25</xdr:row>
      <xdr:rowOff>219073</xdr:rowOff>
    </xdr:to>
    <xdr:pic>
      <xdr:nvPicPr>
        <xdr:cNvPr id="6" name="Picture 5" descr="Black Chain Wire Link Fencing Gate 900mm x 1200mm">
          <a:extLst>
            <a:ext uri="{FF2B5EF4-FFF2-40B4-BE49-F238E27FC236}">
              <a16:creationId xmlns:a16="http://schemas.microsoft.com/office/drawing/2014/main" id="{8D76ACD8-D012-56A4-8972-112C3E03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870" y="3448049"/>
          <a:ext cx="969910" cy="1924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</xdr:row>
      <xdr:rowOff>257175</xdr:rowOff>
    </xdr:from>
    <xdr:to>
      <xdr:col>2</xdr:col>
      <xdr:colOff>971549</xdr:colOff>
      <xdr:row>6</xdr:row>
      <xdr:rowOff>123825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D999663-FAF7-4EC4-9636-96BB20C73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7350" y="800100"/>
          <a:ext cx="971549" cy="6667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6</xdr:row>
      <xdr:rowOff>9525</xdr:rowOff>
    </xdr:from>
    <xdr:to>
      <xdr:col>2</xdr:col>
      <xdr:colOff>981074</xdr:colOff>
      <xdr:row>8</xdr:row>
      <xdr:rowOff>142875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19ED7BF-6425-4CD5-A04E-964086A5C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5" y="1362075"/>
          <a:ext cx="971549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104775</xdr:colOff>
      <xdr:row>2</xdr:row>
      <xdr:rowOff>38101</xdr:rowOff>
    </xdr:from>
    <xdr:to>
      <xdr:col>17</xdr:col>
      <xdr:colOff>590550</xdr:colOff>
      <xdr:row>8</xdr:row>
      <xdr:rowOff>85615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27BE85-790C-F0AE-3057-6658F11CF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8800" y="666751"/>
          <a:ext cx="3476625" cy="1819164"/>
        </a:xfrm>
        <a:prstGeom prst="rect">
          <a:avLst/>
        </a:prstGeom>
      </xdr:spPr>
    </xdr:pic>
    <xdr:clientData/>
  </xdr:twoCellAnchor>
  <xdr:twoCellAnchor editAs="oneCell">
    <xdr:from>
      <xdr:col>17</xdr:col>
      <xdr:colOff>28576</xdr:colOff>
      <xdr:row>13</xdr:row>
      <xdr:rowOff>9525</xdr:rowOff>
    </xdr:from>
    <xdr:to>
      <xdr:col>20</xdr:col>
      <xdr:colOff>407108</xdr:colOff>
      <xdr:row>21</xdr:row>
      <xdr:rowOff>256608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E0F04D-C96C-E6A7-EA07-2B8A5438D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63451" y="3933825"/>
          <a:ext cx="2207332" cy="2466408"/>
        </a:xfrm>
        <a:prstGeom prst="rect">
          <a:avLst/>
        </a:prstGeom>
      </xdr:spPr>
    </xdr:pic>
    <xdr:clientData/>
  </xdr:twoCellAnchor>
  <xdr:twoCellAnchor editAs="oneCell">
    <xdr:from>
      <xdr:col>17</xdr:col>
      <xdr:colOff>40936</xdr:colOff>
      <xdr:row>8</xdr:row>
      <xdr:rowOff>85725</xdr:rowOff>
    </xdr:from>
    <xdr:to>
      <xdr:col>18</xdr:col>
      <xdr:colOff>571113</xdr:colOff>
      <xdr:row>13</xdr:row>
      <xdr:rowOff>27783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71DA35E-B1C9-3E7B-103B-05B0ABFB2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flipH="1">
          <a:off x="12375811" y="2486025"/>
          <a:ext cx="1139777" cy="14660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19</xdr:row>
      <xdr:rowOff>0</xdr:rowOff>
    </xdr:from>
    <xdr:to>
      <xdr:col>10</xdr:col>
      <xdr:colOff>304800</xdr:colOff>
      <xdr:row>20</xdr:row>
      <xdr:rowOff>38100</xdr:rowOff>
    </xdr:to>
    <xdr:sp macro="" textlink="">
      <xdr:nvSpPr>
        <xdr:cNvPr id="1028" name="AutoShape 4" descr="Security Gates | Supamaxx - Security Bollards | Perimeter Security |  Electronic Gates And Fencing">
          <a:extLst>
            <a:ext uri="{FF2B5EF4-FFF2-40B4-BE49-F238E27FC236}">
              <a16:creationId xmlns:a16="http://schemas.microsoft.com/office/drawing/2014/main" id="{76D07F4F-F0A9-301B-BB99-75A757BB98E8}"/>
            </a:ext>
          </a:extLst>
        </xdr:cNvPr>
        <xdr:cNvSpPr>
          <a:spLocks noChangeAspect="1" noChangeArrowheads="1"/>
        </xdr:cNvSpPr>
      </xdr:nvSpPr>
      <xdr:spPr bwMode="auto">
        <a:xfrm>
          <a:off x="10982325" y="5743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304800</xdr:colOff>
      <xdr:row>20</xdr:row>
      <xdr:rowOff>38100</xdr:rowOff>
    </xdr:to>
    <xdr:sp macro="" textlink="">
      <xdr:nvSpPr>
        <xdr:cNvPr id="1030" name="AutoShape 6" descr="Security Gates | Supamaxx - Security Bollards | Perimeter Security |  Electronic Gates And Fencing">
          <a:extLst>
            <a:ext uri="{FF2B5EF4-FFF2-40B4-BE49-F238E27FC236}">
              <a16:creationId xmlns:a16="http://schemas.microsoft.com/office/drawing/2014/main" id="{3161739E-1AC5-9622-9B80-0FDF14A33496}"/>
            </a:ext>
          </a:extLst>
        </xdr:cNvPr>
        <xdr:cNvSpPr>
          <a:spLocks noChangeAspect="1" noChangeArrowheads="1"/>
        </xdr:cNvSpPr>
      </xdr:nvSpPr>
      <xdr:spPr bwMode="auto">
        <a:xfrm>
          <a:off x="10982325" y="5743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19050</xdr:colOff>
      <xdr:row>6</xdr:row>
      <xdr:rowOff>0</xdr:rowOff>
    </xdr:from>
    <xdr:to>
      <xdr:col>13</xdr:col>
      <xdr:colOff>417000</xdr:colOff>
      <xdr:row>11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608B4-A7DA-D2DE-211D-FAA82BBF3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375" y="1466850"/>
          <a:ext cx="3045900" cy="128587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0</xdr:row>
      <xdr:rowOff>123825</xdr:rowOff>
    </xdr:from>
    <xdr:to>
      <xdr:col>15</xdr:col>
      <xdr:colOff>190301</xdr:colOff>
      <xdr:row>4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2729D3-5316-E99E-736C-6C99083DD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49175" y="123825"/>
          <a:ext cx="2590601" cy="1114425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16</xdr:row>
      <xdr:rowOff>228600</xdr:rowOff>
    </xdr:from>
    <xdr:to>
      <xdr:col>11</xdr:col>
      <xdr:colOff>295275</xdr:colOff>
      <xdr:row>22</xdr:row>
      <xdr:rowOff>28575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020BB857-ACD7-706A-074B-8415421EC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343400"/>
          <a:ext cx="1666875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24</xdr:row>
      <xdr:rowOff>39242</xdr:rowOff>
    </xdr:from>
    <xdr:to>
      <xdr:col>15</xdr:col>
      <xdr:colOff>8542</xdr:colOff>
      <xdr:row>29</xdr:row>
      <xdr:rowOff>75844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158431-D964-2B6C-8DC2-CEDBB3823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20425" y="6087617"/>
          <a:ext cx="3837592" cy="13891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190501</xdr:colOff>
      <xdr:row>8</xdr:row>
      <xdr:rowOff>238125</xdr:rowOff>
    </xdr:from>
    <xdr:to>
      <xdr:col>7</xdr:col>
      <xdr:colOff>790576</xdr:colOff>
      <xdr:row>13</xdr:row>
      <xdr:rowOff>118874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8C62C9-AB7D-9A43-784B-710F0A58B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6901" y="2971800"/>
          <a:ext cx="3009900" cy="1195199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2</xdr:row>
      <xdr:rowOff>0</xdr:rowOff>
    </xdr:from>
    <xdr:to>
      <xdr:col>8</xdr:col>
      <xdr:colOff>383389</xdr:colOff>
      <xdr:row>5</xdr:row>
      <xdr:rowOff>28392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3D48A0-668A-0B7A-E16D-F3C136C90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5450" y="1114425"/>
          <a:ext cx="3879064" cy="857067"/>
        </a:xfrm>
        <a:prstGeom prst="rect">
          <a:avLst/>
        </a:prstGeom>
      </xdr:spPr>
    </xdr:pic>
    <xdr:clientData/>
  </xdr:twoCellAnchor>
  <xdr:twoCellAnchor editAs="oneCell">
    <xdr:from>
      <xdr:col>9</xdr:col>
      <xdr:colOff>9524</xdr:colOff>
      <xdr:row>16</xdr:row>
      <xdr:rowOff>110322</xdr:rowOff>
    </xdr:from>
    <xdr:to>
      <xdr:col>14</xdr:col>
      <xdr:colOff>208278</xdr:colOff>
      <xdr:row>21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FD773F-6CC9-28D0-90C3-B2C2EC525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10924" y="4148922"/>
          <a:ext cx="4504054" cy="119460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</xdr:colOff>
      <xdr:row>0</xdr:row>
      <xdr:rowOff>0</xdr:rowOff>
    </xdr:from>
    <xdr:to>
      <xdr:col>15</xdr:col>
      <xdr:colOff>180295</xdr:colOff>
      <xdr:row>4</xdr:row>
      <xdr:rowOff>19050</xdr:rowOff>
    </xdr:to>
    <xdr:pic>
      <xdr:nvPicPr>
        <xdr:cNvPr id="3" name="Picture 2" descr="EPCOM - 🚪 Introducing Comunello Gate: A cutting-edge...">
          <a:extLst>
            <a:ext uri="{FF2B5EF4-FFF2-40B4-BE49-F238E27FC236}">
              <a16:creationId xmlns:a16="http://schemas.microsoft.com/office/drawing/2014/main" id="{8993764E-4535-A6E1-875B-51A5220C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0"/>
          <a:ext cx="199004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9526</xdr:colOff>
      <xdr:row>0</xdr:row>
      <xdr:rowOff>238125</xdr:rowOff>
    </xdr:from>
    <xdr:to>
      <xdr:col>3</xdr:col>
      <xdr:colOff>0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818FD2-BEC4-4611-8C5A-5C5DD9C73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6" y="238125"/>
          <a:ext cx="971549" cy="666750"/>
        </a:xfrm>
        <a:prstGeom prst="rect">
          <a:avLst/>
        </a:prstGeom>
      </xdr:spPr>
    </xdr:pic>
    <xdr:clientData/>
  </xdr:twoCellAnchor>
  <xdr:twoCellAnchor editAs="oneCell">
    <xdr:from>
      <xdr:col>2</xdr:col>
      <xdr:colOff>36017</xdr:colOff>
      <xdr:row>10</xdr:row>
      <xdr:rowOff>28575</xdr:rowOff>
    </xdr:from>
    <xdr:to>
      <xdr:col>2</xdr:col>
      <xdr:colOff>923925</xdr:colOff>
      <xdr:row>16</xdr:row>
      <xdr:rowOff>247650</xdr:rowOff>
    </xdr:to>
    <xdr:pic>
      <xdr:nvPicPr>
        <xdr:cNvPr id="3" name="Picture 2" descr="Black Chain Wire Link Fencing Gate 900mm x 1200mm">
          <a:extLst>
            <a:ext uri="{FF2B5EF4-FFF2-40B4-BE49-F238E27FC236}">
              <a16:creationId xmlns:a16="http://schemas.microsoft.com/office/drawing/2014/main" id="{9AAE0875-CED4-4D34-8A37-24115318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8617" y="2771775"/>
          <a:ext cx="887908" cy="1876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257175</xdr:rowOff>
    </xdr:from>
    <xdr:to>
      <xdr:col>2</xdr:col>
      <xdr:colOff>971549</xdr:colOff>
      <xdr:row>6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A4FC34-5911-4BC2-ADC6-1D2DD874C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7350" y="800100"/>
          <a:ext cx="971549" cy="6667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4</xdr:row>
      <xdr:rowOff>9525</xdr:rowOff>
    </xdr:from>
    <xdr:to>
      <xdr:col>2</xdr:col>
      <xdr:colOff>981074</xdr:colOff>
      <xdr:row>7</xdr:row>
      <xdr:rowOff>85725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A5DC10B-044E-4A55-B7A5-40368E3E5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5" y="1362075"/>
          <a:ext cx="971549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10</xdr:col>
      <xdr:colOff>790575</xdr:colOff>
      <xdr:row>17</xdr:row>
      <xdr:rowOff>171450</xdr:rowOff>
    </xdr:to>
    <xdr:pic>
      <xdr:nvPicPr>
        <xdr:cNvPr id="7" name="Picture 6" descr="LOCKWOOD AUTO D/LATCH 002-1L1 LEVER &amp; HOLDBACK 002-1L1SP | Lockwood 002  Deadlatch - LSC | Complete Security Solutions - LSC Security Supplies">
          <a:extLst>
            <a:ext uri="{FF2B5EF4-FFF2-40B4-BE49-F238E27FC236}">
              <a16:creationId xmlns:a16="http://schemas.microsoft.com/office/drawing/2014/main" id="{44036788-6228-C97D-66DA-7EAFBA41B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0525" y="2466975"/>
          <a:ext cx="2381250" cy="238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28575</xdr:colOff>
      <xdr:row>8</xdr:row>
      <xdr:rowOff>66674</xdr:rowOff>
    </xdr:from>
    <xdr:to>
      <xdr:col>14</xdr:col>
      <xdr:colOff>505014</xdr:colOff>
      <xdr:row>17</xdr:row>
      <xdr:rowOff>76199</xdr:rowOff>
    </xdr:to>
    <xdr:pic>
      <xdr:nvPicPr>
        <xdr:cNvPr id="8" name="Picture 7" descr="Carbine Security Guard Box For Gates">
          <a:extLst>
            <a:ext uri="{FF2B5EF4-FFF2-40B4-BE49-F238E27FC236}">
              <a16:creationId xmlns:a16="http://schemas.microsoft.com/office/drawing/2014/main" id="{D3F9D6D3-5DFA-3EA6-633D-CB121B437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0350" y="2266949"/>
          <a:ext cx="3076764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18432</xdr:colOff>
      <xdr:row>8</xdr:row>
      <xdr:rowOff>38100</xdr:rowOff>
    </xdr:from>
    <xdr:to>
      <xdr:col>16</xdr:col>
      <xdr:colOff>542925</xdr:colOff>
      <xdr:row>16</xdr:row>
      <xdr:rowOff>265316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FA4F5C2-608D-AD1E-10D0-D04FBA3FD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620132" y="2238375"/>
          <a:ext cx="1486518" cy="2427491"/>
        </a:xfrm>
        <a:prstGeom prst="rect">
          <a:avLst/>
        </a:prstGeom>
      </xdr:spPr>
    </xdr:pic>
    <xdr:clientData/>
  </xdr:twoCellAnchor>
  <xdr:twoCellAnchor editAs="oneCell">
    <xdr:from>
      <xdr:col>17</xdr:col>
      <xdr:colOff>9525</xdr:colOff>
      <xdr:row>8</xdr:row>
      <xdr:rowOff>38099</xdr:rowOff>
    </xdr:from>
    <xdr:to>
      <xdr:col>19</xdr:col>
      <xdr:colOff>193432</xdr:colOff>
      <xdr:row>17</xdr:row>
      <xdr:rowOff>47625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D9E494E-3454-91CB-EAE8-05C6C75A4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182850" y="2238374"/>
          <a:ext cx="1593607" cy="24860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400050</xdr:colOff>
      <xdr:row>5</xdr:row>
      <xdr:rowOff>171450</xdr:rowOff>
    </xdr:from>
    <xdr:to>
      <xdr:col>16</xdr:col>
      <xdr:colOff>884290</xdr:colOff>
      <xdr:row>10</xdr:row>
      <xdr:rowOff>104579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6F78888-5A4D-7B6F-F4A8-79863D55D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44150" y="1543050"/>
          <a:ext cx="2474965" cy="1276154"/>
        </a:xfrm>
        <a:prstGeom prst="rect">
          <a:avLst/>
        </a:prstGeom>
      </xdr:spPr>
    </xdr:pic>
    <xdr:clientData/>
  </xdr:twoCellAnchor>
  <xdr:twoCellAnchor editAs="oneCell">
    <xdr:from>
      <xdr:col>15</xdr:col>
      <xdr:colOff>50336</xdr:colOff>
      <xdr:row>0</xdr:row>
      <xdr:rowOff>266701</xdr:rowOff>
    </xdr:from>
    <xdr:to>
      <xdr:col>16</xdr:col>
      <xdr:colOff>352426</xdr:colOff>
      <xdr:row>5</xdr:row>
      <xdr:rowOff>112207</xdr:rowOff>
    </xdr:to>
    <xdr:pic>
      <xdr:nvPicPr>
        <xdr:cNvPr id="5" name="Picture 4" descr="Pool Fencing Flat Top Access Gate 890W x 1200H">
          <a:extLst>
            <a:ext uri="{FF2B5EF4-FFF2-40B4-BE49-F238E27FC236}">
              <a16:creationId xmlns:a16="http://schemas.microsoft.com/office/drawing/2014/main" id="{7DB8BAFB-4561-B4E6-E906-A3E2E6155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5561" y="266701"/>
          <a:ext cx="911690" cy="1217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7B884-2DA0-4848-8F5A-60B10B9AE50D}">
  <dimension ref="A1:A5"/>
  <sheetViews>
    <sheetView workbookViewId="0">
      <selection activeCell="G7" sqref="G7"/>
    </sheetView>
  </sheetViews>
  <sheetFormatPr defaultRowHeight="28.5" x14ac:dyDescent="0.45"/>
  <cols>
    <col min="1" max="1" width="84.5703125" style="137" customWidth="1"/>
    <col min="2" max="16384" width="9.140625" style="137"/>
  </cols>
  <sheetData>
    <row r="1" spans="1:1" x14ac:dyDescent="0.45">
      <c r="A1" s="145" t="s">
        <v>238</v>
      </c>
    </row>
    <row r="2" spans="1:1" x14ac:dyDescent="0.45">
      <c r="A2" s="138" t="s">
        <v>239</v>
      </c>
    </row>
    <row r="3" spans="1:1" x14ac:dyDescent="0.45">
      <c r="A3" s="139" t="s">
        <v>240</v>
      </c>
    </row>
    <row r="4" spans="1:1" x14ac:dyDescent="0.45">
      <c r="A4" s="137" t="s">
        <v>241</v>
      </c>
    </row>
    <row r="5" spans="1:1" x14ac:dyDescent="0.45">
      <c r="A5" s="1" t="s">
        <v>124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76BC-1CF8-4EC7-A439-64D0ED183128}">
  <dimension ref="A1:Q10"/>
  <sheetViews>
    <sheetView workbookViewId="0">
      <selection activeCell="K17" sqref="K17"/>
    </sheetView>
  </sheetViews>
  <sheetFormatPr defaultRowHeight="18.75" x14ac:dyDescent="0.3"/>
  <cols>
    <col min="1" max="1" width="9.140625" style="73"/>
    <col min="2" max="2" width="13.85546875" style="73" customWidth="1"/>
    <col min="3" max="3" width="12.42578125" style="73" customWidth="1"/>
    <col min="4" max="4" width="11.7109375" style="73" customWidth="1"/>
    <col min="5" max="5" width="9.140625" style="73"/>
    <col min="6" max="6" width="10.7109375" style="73" customWidth="1"/>
    <col min="7" max="7" width="12" style="73" customWidth="1"/>
    <col min="8" max="8" width="14.42578125" style="73" customWidth="1"/>
    <col min="9" max="9" width="11.5703125" style="73" customWidth="1"/>
    <col min="10" max="10" width="9.140625" style="73"/>
    <col min="11" max="11" width="13.85546875" style="73" customWidth="1"/>
    <col min="12" max="12" width="9.140625" style="73"/>
    <col min="13" max="13" width="12" style="73" customWidth="1"/>
    <col min="14" max="14" width="9.140625" style="73"/>
    <col min="15" max="15" width="11.5703125" style="73" customWidth="1"/>
    <col min="16" max="16" width="9.140625" style="73"/>
    <col min="17" max="17" width="14.140625" style="73" customWidth="1"/>
    <col min="18" max="16384" width="9.140625" style="73"/>
  </cols>
  <sheetData>
    <row r="1" spans="1:17" ht="24" thickBot="1" x14ac:dyDescent="0.4">
      <c r="A1" s="341" t="s">
        <v>220</v>
      </c>
      <c r="B1" s="342"/>
      <c r="C1" s="342"/>
      <c r="D1" s="342"/>
      <c r="E1" s="342"/>
      <c r="F1" s="342"/>
      <c r="G1" s="342"/>
      <c r="H1" s="343"/>
    </row>
    <row r="2" spans="1:17" ht="19.5" thickBot="1" x14ac:dyDescent="0.35"/>
    <row r="3" spans="1:17" ht="21.75" thickBot="1" x14ac:dyDescent="0.4">
      <c r="A3" s="294" t="s">
        <v>221</v>
      </c>
      <c r="B3" s="295"/>
      <c r="C3" s="295"/>
      <c r="D3" s="296"/>
      <c r="E3" s="56"/>
      <c r="F3" s="56"/>
      <c r="G3" s="1"/>
      <c r="H3" s="339" t="s">
        <v>217</v>
      </c>
      <c r="I3" s="340"/>
      <c r="J3" s="292" t="s">
        <v>218</v>
      </c>
      <c r="K3" s="293"/>
      <c r="L3" s="292" t="s">
        <v>219</v>
      </c>
      <c r="M3" s="293"/>
      <c r="N3" s="292" t="s">
        <v>216</v>
      </c>
      <c r="O3" s="293"/>
      <c r="P3"/>
      <c r="Q3" s="1"/>
    </row>
    <row r="4" spans="1:17" ht="21" x14ac:dyDescent="0.35">
      <c r="A4" s="37" t="s">
        <v>113</v>
      </c>
      <c r="B4" s="39" t="s">
        <v>10</v>
      </c>
      <c r="C4" s="39" t="s">
        <v>83</v>
      </c>
      <c r="D4" s="39" t="s">
        <v>81</v>
      </c>
      <c r="E4" s="92" t="s">
        <v>108</v>
      </c>
      <c r="F4" s="92" t="s">
        <v>114</v>
      </c>
      <c r="G4" s="38" t="s">
        <v>223</v>
      </c>
      <c r="H4" s="1" t="s">
        <v>66</v>
      </c>
      <c r="I4" s="5" t="s">
        <v>68</v>
      </c>
      <c r="J4" s="4" t="s">
        <v>66</v>
      </c>
      <c r="K4" s="5" t="s">
        <v>68</v>
      </c>
      <c r="L4" s="4" t="s">
        <v>66</v>
      </c>
      <c r="M4" s="5" t="s">
        <v>68</v>
      </c>
      <c r="N4" s="4" t="s">
        <v>66</v>
      </c>
      <c r="O4" s="5" t="s">
        <v>68</v>
      </c>
      <c r="P4" s="1"/>
      <c r="Q4" s="1"/>
    </row>
    <row r="5" spans="1:17" ht="21.75" thickBot="1" x14ac:dyDescent="0.4">
      <c r="A5" s="112"/>
      <c r="B5" s="200"/>
      <c r="C5" s="196">
        <f>IF(F5="D",(B5-60)/2,B5-30)</f>
        <v>-30</v>
      </c>
      <c r="D5" s="226"/>
      <c r="E5" s="90">
        <v>98</v>
      </c>
      <c r="F5" s="90" t="s">
        <v>205</v>
      </c>
      <c r="G5" s="93" t="s">
        <v>226</v>
      </c>
      <c r="H5" s="91">
        <f>IF(F5="D",(C5*2)/E5,C5/E5)</f>
        <v>-0.30612244897959184</v>
      </c>
      <c r="I5" s="230">
        <f t="shared" ref="I5" si="0">SUM(D5-10)</f>
        <v>-10</v>
      </c>
      <c r="J5" s="48">
        <f>IF(F5="D",2,1)</f>
        <v>1</v>
      </c>
      <c r="K5" s="230">
        <f>SUM(C5-50)</f>
        <v>-80</v>
      </c>
      <c r="L5" s="48">
        <f t="shared" ref="L5" si="1">IF(F5="D",2,1)</f>
        <v>1</v>
      </c>
      <c r="M5" s="230">
        <f>SUM(C5-50)</f>
        <v>-80</v>
      </c>
      <c r="N5" s="48">
        <f>IF(F5="D",4,2)</f>
        <v>2</v>
      </c>
      <c r="O5" s="230">
        <f>SUM(D5+20)</f>
        <v>20</v>
      </c>
      <c r="P5" s="1"/>
      <c r="Q5" s="1"/>
    </row>
    <row r="6" spans="1:17" ht="19.5" thickBot="1" x14ac:dyDescent="0.35"/>
    <row r="7" spans="1:17" ht="21.75" thickBot="1" x14ac:dyDescent="0.4">
      <c r="A7" s="294" t="s">
        <v>222</v>
      </c>
      <c r="B7" s="295"/>
      <c r="C7" s="295"/>
      <c r="D7" s="296"/>
      <c r="E7" s="1"/>
      <c r="F7" s="1"/>
      <c r="G7" s="1"/>
      <c r="H7" s="339" t="s">
        <v>217</v>
      </c>
      <c r="I7" s="340"/>
      <c r="J7" s="292" t="s">
        <v>218</v>
      </c>
      <c r="K7" s="293"/>
      <c r="L7" s="292" t="s">
        <v>219</v>
      </c>
      <c r="M7" s="293"/>
    </row>
    <row r="8" spans="1:17" ht="21" x14ac:dyDescent="0.35">
      <c r="A8" s="37" t="s">
        <v>66</v>
      </c>
      <c r="B8" s="232" t="s">
        <v>67</v>
      </c>
      <c r="C8" s="39" t="s">
        <v>68</v>
      </c>
      <c r="D8" s="39" t="s">
        <v>81</v>
      </c>
      <c r="E8" s="39" t="s">
        <v>108</v>
      </c>
      <c r="F8" s="38" t="s">
        <v>223</v>
      </c>
      <c r="G8" s="1"/>
      <c r="H8" s="4" t="s">
        <v>66</v>
      </c>
      <c r="I8" s="5" t="s">
        <v>68</v>
      </c>
      <c r="J8" s="4" t="s">
        <v>66</v>
      </c>
      <c r="K8" s="5" t="s">
        <v>68</v>
      </c>
      <c r="L8" s="4" t="s">
        <v>66</v>
      </c>
      <c r="M8" s="5" t="s">
        <v>68</v>
      </c>
    </row>
    <row r="9" spans="1:17" ht="21.75" thickBot="1" x14ac:dyDescent="0.4">
      <c r="A9" s="111"/>
      <c r="B9" s="197"/>
      <c r="C9" s="198"/>
      <c r="D9" s="198"/>
      <c r="E9" s="84">
        <v>98</v>
      </c>
      <c r="F9" s="94" t="s">
        <v>226</v>
      </c>
      <c r="G9" s="1"/>
      <c r="H9" s="47">
        <f>SUM(C9/E9)*A9</f>
        <v>0</v>
      </c>
      <c r="I9" s="203">
        <f>SUM(D9-10)</f>
        <v>-10</v>
      </c>
      <c r="J9" s="4">
        <f>SUM(A9)</f>
        <v>0</v>
      </c>
      <c r="K9" s="203">
        <f>SUM(C9)</f>
        <v>0</v>
      </c>
      <c r="L9" s="4">
        <f>SUM(A9)</f>
        <v>0</v>
      </c>
      <c r="M9" s="203">
        <f>SUM(C9)</f>
        <v>0</v>
      </c>
    </row>
    <row r="10" spans="1:17" ht="21.75" thickBot="1" x14ac:dyDescent="0.4">
      <c r="A10" s="88"/>
      <c r="B10" s="231"/>
      <c r="C10" s="227"/>
      <c r="D10" s="227"/>
      <c r="E10" s="90">
        <v>98</v>
      </c>
      <c r="F10" s="93"/>
      <c r="G10" s="1"/>
      <c r="H10" s="47">
        <f>SUM(C10/E10)*A10</f>
        <v>0</v>
      </c>
      <c r="I10" s="230">
        <f>SUM(D10-10)</f>
        <v>-10</v>
      </c>
      <c r="J10" s="48">
        <f t="shared" ref="J10" si="2">SUM(A10)</f>
        <v>0</v>
      </c>
      <c r="K10" s="230">
        <f t="shared" ref="K10" si="3">SUM(C10)</f>
        <v>0</v>
      </c>
      <c r="L10" s="48">
        <f t="shared" ref="L10" si="4">SUM(A10)</f>
        <v>0</v>
      </c>
      <c r="M10" s="230">
        <f t="shared" ref="M10" si="5">SUM(C10)</f>
        <v>0</v>
      </c>
    </row>
  </sheetData>
  <mergeCells count="10">
    <mergeCell ref="N3:O3"/>
    <mergeCell ref="A1:H1"/>
    <mergeCell ref="A7:D7"/>
    <mergeCell ref="H7:I7"/>
    <mergeCell ref="J7:K7"/>
    <mergeCell ref="L7:M7"/>
    <mergeCell ref="A3:D3"/>
    <mergeCell ref="H3:I3"/>
    <mergeCell ref="J3:K3"/>
    <mergeCell ref="L3:M3"/>
  </mergeCells>
  <dataValidations count="3">
    <dataValidation type="list" allowBlank="1" showInputMessage="1" showErrorMessage="1" sqref="F5" xr:uid="{4ED79212-3972-4DC5-A0E0-0A1D2EF9FB32}">
      <formula1>"S,D"</formula1>
    </dataValidation>
    <dataValidation type="list" allowBlank="1" showInputMessage="1" showErrorMessage="1" sqref="E5 E9:E10" xr:uid="{36F0CC5F-EBBD-492C-9B45-08F0DDBFC6A2}">
      <formula1>"98"</formula1>
    </dataValidation>
    <dataValidation type="list" allowBlank="1" showInputMessage="1" showErrorMessage="1" sqref="G5 F9:F10" xr:uid="{DC06B59D-D66A-404F-8700-E97FA399B3C8}">
      <formula1>"Steel,Ally"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929C-88FF-41BE-90BD-AFC524C7D6B0}">
  <dimension ref="A1:P10"/>
  <sheetViews>
    <sheetView workbookViewId="0">
      <selection activeCell="D5" sqref="D5"/>
    </sheetView>
  </sheetViews>
  <sheetFormatPr defaultColWidth="9.140625" defaultRowHeight="18.75" x14ac:dyDescent="0.3"/>
  <cols>
    <col min="1" max="2" width="9.140625" style="73"/>
    <col min="3" max="3" width="13.5703125" style="73" customWidth="1"/>
    <col min="4" max="4" width="13.28515625" style="73" customWidth="1"/>
    <col min="5" max="5" width="10.140625" style="73" bestFit="1" customWidth="1"/>
    <col min="6" max="7" width="10.28515625" style="73" customWidth="1"/>
    <col min="8" max="8" width="11.85546875" style="73" customWidth="1"/>
    <col min="9" max="9" width="9.140625" style="73" customWidth="1"/>
    <col min="10" max="10" width="10.5703125" style="73" customWidth="1"/>
    <col min="11" max="16384" width="9.140625" style="73"/>
  </cols>
  <sheetData>
    <row r="1" spans="1:16" ht="19.5" thickBot="1" x14ac:dyDescent="0.35">
      <c r="A1" s="347" t="s">
        <v>153</v>
      </c>
      <c r="B1" s="348"/>
      <c r="C1" s="348"/>
      <c r="D1" s="348"/>
      <c r="E1" s="348"/>
      <c r="F1" s="348"/>
      <c r="G1" s="349"/>
      <c r="H1" s="348"/>
      <c r="I1" s="348"/>
      <c r="J1" s="350"/>
      <c r="L1"/>
    </row>
    <row r="2" spans="1:16" ht="19.5" thickBot="1" x14ac:dyDescent="0.35">
      <c r="A2" s="344" t="s">
        <v>159</v>
      </c>
      <c r="B2" s="345"/>
      <c r="C2" s="345"/>
      <c r="D2" s="346"/>
      <c r="E2" s="79" t="s">
        <v>160</v>
      </c>
      <c r="F2" s="74" t="s">
        <v>161</v>
      </c>
      <c r="G2" s="78" t="s">
        <v>162</v>
      </c>
      <c r="H2" s="351" t="s">
        <v>165</v>
      </c>
      <c r="I2" s="352"/>
      <c r="J2" s="352"/>
      <c r="K2" s="352"/>
    </row>
    <row r="3" spans="1:16" x14ac:dyDescent="0.3">
      <c r="A3" s="75" t="s">
        <v>154</v>
      </c>
      <c r="B3" s="76" t="s">
        <v>164</v>
      </c>
      <c r="C3" s="76" t="s">
        <v>163</v>
      </c>
      <c r="D3" s="76" t="s">
        <v>155</v>
      </c>
      <c r="E3" s="76" t="s">
        <v>156</v>
      </c>
      <c r="F3" s="76" t="s">
        <v>166</v>
      </c>
      <c r="G3" s="76" t="s">
        <v>66</v>
      </c>
      <c r="H3" s="76" t="s">
        <v>157</v>
      </c>
      <c r="I3" s="76" t="s">
        <v>66</v>
      </c>
      <c r="J3" s="76" t="s">
        <v>158</v>
      </c>
      <c r="K3" s="77" t="s">
        <v>66</v>
      </c>
      <c r="P3" s="233"/>
    </row>
    <row r="4" spans="1:16" ht="21" x14ac:dyDescent="0.35">
      <c r="A4" s="131"/>
      <c r="B4" s="84" t="s">
        <v>125</v>
      </c>
      <c r="C4" s="234"/>
      <c r="D4" s="234"/>
      <c r="E4" s="189">
        <f>IF(B4="s",D4-30,D4/2-30)</f>
        <v>-30</v>
      </c>
      <c r="F4" s="235">
        <f>SUM(C4+20)</f>
        <v>20</v>
      </c>
      <c r="G4" s="2" t="str">
        <f>IF(B4="s","X 2","X 4")</f>
        <v>X 4</v>
      </c>
      <c r="H4" s="235">
        <f>SUM(E4-70)</f>
        <v>-100</v>
      </c>
      <c r="I4" s="2" t="str">
        <f>IF(B4="s","X 2","X 4")</f>
        <v>X 4</v>
      </c>
      <c r="J4" s="235">
        <f>SUM(C4-10)</f>
        <v>-10</v>
      </c>
      <c r="K4" s="2" t="str">
        <f>IF(B4="s","X 2","X 4")</f>
        <v>X 4</v>
      </c>
    </row>
    <row r="5" spans="1:16" ht="21" x14ac:dyDescent="0.35">
      <c r="A5" s="131"/>
      <c r="B5" s="84" t="s">
        <v>205</v>
      </c>
      <c r="C5" s="234"/>
      <c r="D5" s="234"/>
      <c r="E5" s="189">
        <f t="shared" ref="E5" si="0">IF(B5="s",D5-30,D5/2-30)</f>
        <v>-30</v>
      </c>
      <c r="F5" s="235">
        <f t="shared" ref="F5" si="1">SUM(C5+20)</f>
        <v>20</v>
      </c>
      <c r="G5" s="2" t="str">
        <f t="shared" ref="G5" si="2">IF(B5="s","X 2","X 4")</f>
        <v>X 2</v>
      </c>
      <c r="H5" s="235">
        <f t="shared" ref="H5" si="3">SUM(E5-70)</f>
        <v>-100</v>
      </c>
      <c r="I5" s="2" t="str">
        <f>IF(B5="s","X 2","X 4")</f>
        <v>X 2</v>
      </c>
      <c r="J5" s="235">
        <f t="shared" ref="J5" si="4">SUM(C5-10)</f>
        <v>-10</v>
      </c>
      <c r="K5" s="2" t="str">
        <f>IF(B5="s","X 2","X 4")</f>
        <v>X 2</v>
      </c>
    </row>
    <row r="6" spans="1:16" ht="21" x14ac:dyDescent="0.35">
      <c r="E6" s="1"/>
      <c r="G6" s="1"/>
      <c r="I6" s="1"/>
      <c r="K6" s="1"/>
    </row>
    <row r="7" spans="1:16" ht="21" x14ac:dyDescent="0.35">
      <c r="E7" s="1"/>
      <c r="G7" s="1"/>
      <c r="I7" s="1"/>
      <c r="K7" s="1"/>
    </row>
    <row r="8" spans="1:16" ht="21" x14ac:dyDescent="0.35">
      <c r="A8" s="73" t="str">
        <f>IF(C4&gt;1900,"*Note colour bond sheets need to be pot riverted together "," ")</f>
        <v xml:space="preserve"> </v>
      </c>
      <c r="E8" s="1"/>
      <c r="G8" s="1"/>
      <c r="I8" s="1"/>
      <c r="K8" s="1"/>
    </row>
    <row r="9" spans="1:16" ht="21" x14ac:dyDescent="0.35">
      <c r="E9" s="1"/>
      <c r="G9" s="1"/>
      <c r="I9" s="1"/>
      <c r="K9" s="1"/>
    </row>
    <row r="10" spans="1:16" ht="21" x14ac:dyDescent="0.35">
      <c r="E10" s="1"/>
      <c r="G10" s="1"/>
      <c r="I10" s="1"/>
      <c r="K10" s="1"/>
    </row>
  </sheetData>
  <mergeCells count="3">
    <mergeCell ref="A2:D2"/>
    <mergeCell ref="A1:J1"/>
    <mergeCell ref="H2:K2"/>
  </mergeCells>
  <dataValidations count="1">
    <dataValidation type="list" allowBlank="1" showInputMessage="1" showErrorMessage="1" sqref="B4:B5" xr:uid="{E9E7953F-76CD-4FA5-983C-11005D4E5AB6}">
      <formula1>"S,D"</formula1>
    </dataValidation>
  </dataValidation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A69B1-1531-4B30-BCCA-BEC8ADD23267}">
  <sheetPr>
    <pageSetUpPr fitToPage="1"/>
  </sheetPr>
  <dimension ref="A1:R14"/>
  <sheetViews>
    <sheetView workbookViewId="0">
      <selection activeCell="H18" sqref="H18"/>
    </sheetView>
  </sheetViews>
  <sheetFormatPr defaultColWidth="9.140625" defaultRowHeight="21" x14ac:dyDescent="0.35"/>
  <cols>
    <col min="1" max="1" width="32" style="1" customWidth="1"/>
    <col min="2" max="2" width="54.7109375" style="1" customWidth="1"/>
    <col min="3" max="3" width="13.140625" style="1" customWidth="1"/>
    <col min="4" max="4" width="7.5703125" style="1" customWidth="1"/>
    <col min="5" max="5" width="15.28515625" style="1" customWidth="1"/>
    <col min="6" max="6" width="9.140625" style="1" customWidth="1"/>
    <col min="7" max="7" width="12.42578125" style="1" bestFit="1" customWidth="1"/>
    <col min="8" max="8" width="9.140625" style="1"/>
    <col min="9" max="9" width="12.5703125" style="1" customWidth="1"/>
    <col min="10" max="10" width="9.140625" style="1" customWidth="1"/>
    <col min="11" max="11" width="12.42578125" style="1" bestFit="1" customWidth="1"/>
    <col min="12" max="12" width="9.140625" style="1"/>
    <col min="13" max="13" width="12.42578125" style="1" bestFit="1" customWidth="1"/>
    <col min="14" max="14" width="9.140625" style="1"/>
    <col min="15" max="15" width="12.42578125" style="1" bestFit="1" customWidth="1"/>
    <col min="16" max="16" width="9.140625" style="1"/>
    <col min="17" max="17" width="12.42578125" style="1" bestFit="1" customWidth="1"/>
    <col min="18" max="16384" width="9.140625" style="1"/>
  </cols>
  <sheetData>
    <row r="1" spans="1:18" ht="21.75" thickBot="1" x14ac:dyDescent="0.4">
      <c r="A1" s="257" t="s">
        <v>136</v>
      </c>
      <c r="B1" s="258"/>
      <c r="C1" s="258"/>
      <c r="D1" s="258"/>
      <c r="E1" s="258"/>
      <c r="F1" s="258"/>
      <c r="G1" s="258"/>
      <c r="H1" s="258"/>
      <c r="I1" s="258"/>
      <c r="J1" s="259"/>
    </row>
    <row r="2" spans="1:18" x14ac:dyDescent="0.35">
      <c r="A2" s="1" t="s">
        <v>152</v>
      </c>
    </row>
    <row r="3" spans="1:18" ht="21.75" thickBot="1" x14ac:dyDescent="0.4">
      <c r="A3" s="72" t="s">
        <v>148</v>
      </c>
      <c r="B3" s="2">
        <v>2100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8" x14ac:dyDescent="0.35">
      <c r="A4" s="2"/>
      <c r="B4" s="50"/>
      <c r="C4" s="37" t="s">
        <v>201</v>
      </c>
      <c r="D4" s="133"/>
      <c r="E4" s="37" t="s">
        <v>146</v>
      </c>
      <c r="F4" s="133"/>
      <c r="G4" s="37" t="s">
        <v>146</v>
      </c>
      <c r="H4" s="133"/>
      <c r="I4" s="37" t="s">
        <v>146</v>
      </c>
      <c r="J4" s="133"/>
      <c r="K4" s="37" t="s">
        <v>147</v>
      </c>
      <c r="L4" s="133"/>
      <c r="M4" s="37" t="s">
        <v>147</v>
      </c>
      <c r="N4" s="133"/>
      <c r="O4" s="37" t="s">
        <v>147</v>
      </c>
      <c r="P4" s="134"/>
      <c r="Q4" s="37" t="s">
        <v>147</v>
      </c>
      <c r="R4" s="133"/>
    </row>
    <row r="5" spans="1:18" x14ac:dyDescent="0.35">
      <c r="A5" s="2"/>
      <c r="B5" s="50" t="s">
        <v>144</v>
      </c>
      <c r="C5" s="236"/>
      <c r="D5" s="12" t="s">
        <v>66</v>
      </c>
      <c r="E5" s="132"/>
      <c r="F5" s="12" t="s">
        <v>66</v>
      </c>
      <c r="G5" s="132"/>
      <c r="H5" s="12" t="s">
        <v>66</v>
      </c>
      <c r="I5" s="132"/>
      <c r="J5" s="12" t="s">
        <v>66</v>
      </c>
      <c r="K5" s="132"/>
      <c r="L5" s="12" t="s">
        <v>66</v>
      </c>
      <c r="M5" s="132"/>
      <c r="N5" s="12" t="s">
        <v>66</v>
      </c>
      <c r="O5" s="132"/>
      <c r="P5" s="50" t="s">
        <v>66</v>
      </c>
      <c r="Q5" s="132"/>
      <c r="R5" s="12" t="s">
        <v>66</v>
      </c>
    </row>
    <row r="6" spans="1:18" x14ac:dyDescent="0.35">
      <c r="A6" s="2" t="s">
        <v>138</v>
      </c>
      <c r="B6" s="50" t="s">
        <v>137</v>
      </c>
      <c r="C6" s="237">
        <f>SUM(B3)</f>
        <v>2100</v>
      </c>
      <c r="D6" s="12">
        <v>1</v>
      </c>
      <c r="E6" s="237">
        <f>SUM(B3)</f>
        <v>2100</v>
      </c>
      <c r="F6" s="12">
        <v>1</v>
      </c>
      <c r="G6" s="237">
        <v>2100</v>
      </c>
      <c r="H6" s="12">
        <v>1</v>
      </c>
      <c r="I6" s="237">
        <v>2100</v>
      </c>
      <c r="J6" s="12">
        <v>1</v>
      </c>
      <c r="K6" s="237">
        <f>SUM(B3)</f>
        <v>2100</v>
      </c>
      <c r="L6" s="12">
        <v>2</v>
      </c>
      <c r="M6" s="237">
        <f>SUM(B3)</f>
        <v>2100</v>
      </c>
      <c r="N6" s="12">
        <v>2</v>
      </c>
      <c r="O6" s="237">
        <f>SUM(B3)</f>
        <v>2100</v>
      </c>
      <c r="P6" s="50">
        <v>2</v>
      </c>
      <c r="Q6" s="237">
        <f>SUM(B3)</f>
        <v>2100</v>
      </c>
      <c r="R6" s="12">
        <v>2</v>
      </c>
    </row>
    <row r="7" spans="1:18" x14ac:dyDescent="0.35">
      <c r="A7" s="2" t="s">
        <v>139</v>
      </c>
      <c r="B7" s="50" t="s">
        <v>150</v>
      </c>
      <c r="C7" s="237">
        <f>SUM(B3+20)</f>
        <v>2120</v>
      </c>
      <c r="D7" s="12">
        <v>1</v>
      </c>
      <c r="E7" s="237">
        <f>SUM(B3+20)</f>
        <v>2120</v>
      </c>
      <c r="F7" s="12">
        <v>1</v>
      </c>
      <c r="G7" s="237">
        <v>2120</v>
      </c>
      <c r="H7" s="12">
        <v>1</v>
      </c>
      <c r="I7" s="237">
        <v>2120</v>
      </c>
      <c r="J7" s="12">
        <v>1</v>
      </c>
      <c r="K7" s="237">
        <f>SUM(B3+20)</f>
        <v>2120</v>
      </c>
      <c r="L7" s="12">
        <v>2</v>
      </c>
      <c r="M7" s="237">
        <f>SUM(B3+20)</f>
        <v>2120</v>
      </c>
      <c r="N7" s="12">
        <v>2</v>
      </c>
      <c r="O7" s="237">
        <f>SUM(B3+20)</f>
        <v>2120</v>
      </c>
      <c r="P7" s="50">
        <v>2</v>
      </c>
      <c r="Q7" s="237">
        <f>SUM(B3+20)</f>
        <v>2120</v>
      </c>
      <c r="R7" s="12">
        <v>2</v>
      </c>
    </row>
    <row r="8" spans="1:18" x14ac:dyDescent="0.35">
      <c r="A8" s="2" t="s">
        <v>56</v>
      </c>
      <c r="B8" s="50" t="s">
        <v>112</v>
      </c>
      <c r="C8" s="237">
        <f>SUM(C5-55-130)</f>
        <v>-185</v>
      </c>
      <c r="D8" s="12">
        <v>3</v>
      </c>
      <c r="E8" s="237">
        <f>SUM(E5-70-130)</f>
        <v>-200</v>
      </c>
      <c r="F8" s="12">
        <v>3</v>
      </c>
      <c r="G8" s="237">
        <f>SUM(G5-70-130)</f>
        <v>-200</v>
      </c>
      <c r="H8" s="12">
        <v>3</v>
      </c>
      <c r="I8" s="237">
        <f>SUM(I5-70-130)</f>
        <v>-200</v>
      </c>
      <c r="J8" s="12">
        <v>3</v>
      </c>
      <c r="K8" s="237">
        <f>SUM(K5-120)/2-130</f>
        <v>-190</v>
      </c>
      <c r="L8" s="12">
        <v>6</v>
      </c>
      <c r="M8" s="237">
        <f>SUM(M5-120)/2-130</f>
        <v>-190</v>
      </c>
      <c r="N8" s="12">
        <v>6</v>
      </c>
      <c r="O8" s="237">
        <f>SUM(O5-120)/2-130</f>
        <v>-190</v>
      </c>
      <c r="P8" s="50">
        <v>6</v>
      </c>
      <c r="Q8" s="237">
        <f>SUM(Q5-120)/2-130</f>
        <v>-190</v>
      </c>
      <c r="R8" s="12">
        <v>6</v>
      </c>
    </row>
    <row r="9" spans="1:18" x14ac:dyDescent="0.35">
      <c r="A9" s="2" t="s">
        <v>140</v>
      </c>
      <c r="B9" s="50" t="s">
        <v>333</v>
      </c>
      <c r="C9" s="237">
        <v>453</v>
      </c>
      <c r="D9" s="12">
        <v>2</v>
      </c>
      <c r="E9" s="237">
        <v>453</v>
      </c>
      <c r="F9" s="12">
        <v>2</v>
      </c>
      <c r="G9" s="237">
        <v>453</v>
      </c>
      <c r="H9" s="12">
        <v>2</v>
      </c>
      <c r="I9" s="237">
        <v>453</v>
      </c>
      <c r="J9" s="12">
        <v>2</v>
      </c>
      <c r="K9" s="237">
        <v>453</v>
      </c>
      <c r="L9" s="12">
        <v>4</v>
      </c>
      <c r="M9" s="237">
        <v>453</v>
      </c>
      <c r="N9" s="12">
        <v>4</v>
      </c>
      <c r="O9" s="237">
        <v>453</v>
      </c>
      <c r="P9" s="50">
        <v>4</v>
      </c>
      <c r="Q9" s="237">
        <v>453</v>
      </c>
      <c r="R9" s="12">
        <v>4</v>
      </c>
    </row>
    <row r="10" spans="1:18" x14ac:dyDescent="0.35">
      <c r="A10" s="2" t="s">
        <v>141</v>
      </c>
      <c r="B10" s="50" t="s">
        <v>334</v>
      </c>
      <c r="C10" s="237">
        <f>SUM(C8-1)</f>
        <v>-186</v>
      </c>
      <c r="D10" s="12">
        <v>2</v>
      </c>
      <c r="E10" s="237">
        <f>SUM(E8-1)</f>
        <v>-201</v>
      </c>
      <c r="F10" s="12">
        <v>2</v>
      </c>
      <c r="G10" s="237">
        <f>SUM(G8-1)</f>
        <v>-201</v>
      </c>
      <c r="H10" s="12">
        <v>2</v>
      </c>
      <c r="I10" s="237">
        <f>SUM(I8-1)</f>
        <v>-201</v>
      </c>
      <c r="J10" s="12">
        <v>2</v>
      </c>
      <c r="K10" s="237">
        <f>SUM(K8-1)</f>
        <v>-191</v>
      </c>
      <c r="L10" s="12">
        <v>4</v>
      </c>
      <c r="M10" s="237">
        <f>SUM(M8-1)</f>
        <v>-191</v>
      </c>
      <c r="N10" s="12">
        <v>4</v>
      </c>
      <c r="O10" s="237">
        <f>SUM(O8-1)</f>
        <v>-191</v>
      </c>
      <c r="P10" s="50">
        <v>4</v>
      </c>
      <c r="Q10" s="237">
        <f>SUM(Q8-1)</f>
        <v>-191</v>
      </c>
      <c r="R10" s="12">
        <v>4</v>
      </c>
    </row>
    <row r="11" spans="1:18" x14ac:dyDescent="0.35">
      <c r="A11" s="2" t="s">
        <v>142</v>
      </c>
      <c r="B11" s="50" t="s">
        <v>334</v>
      </c>
      <c r="C11" s="237">
        <v>1450</v>
      </c>
      <c r="D11" s="12">
        <v>2</v>
      </c>
      <c r="E11" s="237">
        <v>1450</v>
      </c>
      <c r="F11" s="12">
        <v>2</v>
      </c>
      <c r="G11" s="237">
        <v>1450</v>
      </c>
      <c r="H11" s="12">
        <v>2</v>
      </c>
      <c r="I11" s="237">
        <v>1450</v>
      </c>
      <c r="J11" s="12">
        <v>2</v>
      </c>
      <c r="K11" s="237">
        <v>1450</v>
      </c>
      <c r="L11" s="12">
        <v>4</v>
      </c>
      <c r="M11" s="237">
        <v>1450</v>
      </c>
      <c r="N11" s="12">
        <v>4</v>
      </c>
      <c r="O11" s="237">
        <v>1450</v>
      </c>
      <c r="P11" s="50">
        <v>4</v>
      </c>
      <c r="Q11" s="237">
        <v>1450</v>
      </c>
      <c r="R11" s="12">
        <v>4</v>
      </c>
    </row>
    <row r="12" spans="1:18" x14ac:dyDescent="0.35">
      <c r="A12" s="2" t="s">
        <v>143</v>
      </c>
      <c r="B12" s="50" t="s">
        <v>334</v>
      </c>
      <c r="C12" s="237">
        <f>SUM(C8-151)</f>
        <v>-336</v>
      </c>
      <c r="D12" s="12">
        <v>2</v>
      </c>
      <c r="E12" s="237">
        <f>SUM(E8-151)</f>
        <v>-351</v>
      </c>
      <c r="F12" s="12">
        <v>2</v>
      </c>
      <c r="G12" s="237">
        <f>SUM(G8-151)</f>
        <v>-351</v>
      </c>
      <c r="H12" s="12">
        <v>2</v>
      </c>
      <c r="I12" s="237">
        <f>SUM(I8-151)</f>
        <v>-351</v>
      </c>
      <c r="J12" s="12">
        <v>2</v>
      </c>
      <c r="K12" s="237">
        <f>SUM(K8-151)</f>
        <v>-341</v>
      </c>
      <c r="L12" s="12">
        <v>4</v>
      </c>
      <c r="M12" s="237">
        <f>SUM(M8-151)</f>
        <v>-341</v>
      </c>
      <c r="N12" s="12">
        <v>4</v>
      </c>
      <c r="O12" s="237">
        <f>SUM(O8-151)</f>
        <v>-341</v>
      </c>
      <c r="P12" s="50">
        <v>4</v>
      </c>
      <c r="Q12" s="237">
        <f>SUM(Q8-151)</f>
        <v>-341</v>
      </c>
      <c r="R12" s="12">
        <v>4</v>
      </c>
    </row>
    <row r="13" spans="1:18" x14ac:dyDescent="0.35">
      <c r="A13" s="2" t="s">
        <v>145</v>
      </c>
      <c r="B13" s="50" t="s">
        <v>151</v>
      </c>
      <c r="C13" s="237">
        <v>1451</v>
      </c>
      <c r="D13" s="12">
        <v>1</v>
      </c>
      <c r="E13" s="237">
        <v>1451</v>
      </c>
      <c r="F13" s="12">
        <v>1</v>
      </c>
      <c r="G13" s="237">
        <v>1451</v>
      </c>
      <c r="H13" s="12">
        <v>1</v>
      </c>
      <c r="I13" s="237">
        <v>1451</v>
      </c>
      <c r="J13" s="12">
        <v>1</v>
      </c>
      <c r="K13" s="237">
        <v>1451</v>
      </c>
      <c r="L13" s="12">
        <v>2</v>
      </c>
      <c r="M13" s="237">
        <v>1451</v>
      </c>
      <c r="N13" s="12">
        <v>2</v>
      </c>
      <c r="O13" s="237">
        <v>1451</v>
      </c>
      <c r="P13" s="50">
        <v>2</v>
      </c>
      <c r="Q13" s="237">
        <v>1451</v>
      </c>
      <c r="R13" s="12">
        <v>2</v>
      </c>
    </row>
    <row r="14" spans="1:18" ht="21.75" thickBot="1" x14ac:dyDescent="0.4">
      <c r="A14" s="2" t="s">
        <v>149</v>
      </c>
      <c r="B14" s="50"/>
      <c r="C14" s="238">
        <f>SUM(C8-5)</f>
        <v>-190</v>
      </c>
      <c r="D14" s="15">
        <v>1</v>
      </c>
      <c r="E14" s="238">
        <f>SUM(E8-5)</f>
        <v>-205</v>
      </c>
      <c r="F14" s="15">
        <v>1</v>
      </c>
      <c r="G14" s="238">
        <f>SUM(G8-5)</f>
        <v>-205</v>
      </c>
      <c r="H14" s="15">
        <v>1</v>
      </c>
      <c r="I14" s="238">
        <f>SUM(I8-5)</f>
        <v>-205</v>
      </c>
      <c r="J14" s="15">
        <v>1</v>
      </c>
      <c r="K14" s="238">
        <f>SUM(K8-5)</f>
        <v>-195</v>
      </c>
      <c r="L14" s="15">
        <v>2</v>
      </c>
      <c r="M14" s="238">
        <f>SUM(M8-5)</f>
        <v>-195</v>
      </c>
      <c r="N14" s="15">
        <v>2</v>
      </c>
      <c r="O14" s="238">
        <f>SUM(O8-5)</f>
        <v>-195</v>
      </c>
      <c r="P14" s="51">
        <v>2</v>
      </c>
      <c r="Q14" s="238">
        <f>SUM(Q8-5)</f>
        <v>-195</v>
      </c>
      <c r="R14" s="15">
        <v>2</v>
      </c>
    </row>
  </sheetData>
  <mergeCells count="1">
    <mergeCell ref="A1:J1"/>
  </mergeCells>
  <pageMargins left="0.7" right="0.7" top="0.75" bottom="0.75" header="0.3" footer="0.3"/>
  <pageSetup scale="5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CDD9-FD34-4AF0-95D9-943FC264D3C2}">
  <dimension ref="A1:J16"/>
  <sheetViews>
    <sheetView workbookViewId="0">
      <selection activeCell="E12" sqref="E12"/>
    </sheetView>
  </sheetViews>
  <sheetFormatPr defaultRowHeight="21" x14ac:dyDescent="0.35"/>
  <cols>
    <col min="1" max="1" width="26.42578125" style="1" customWidth="1"/>
    <col min="2" max="2" width="9.140625" style="1"/>
    <col min="3" max="3" width="15.140625" style="1" customWidth="1"/>
    <col min="4" max="4" width="9.140625" style="1"/>
    <col min="5" max="5" width="24.7109375" style="1" customWidth="1"/>
    <col min="6" max="6" width="22.5703125" style="1" customWidth="1"/>
    <col min="7" max="7" width="26" style="1" customWidth="1"/>
    <col min="8" max="9" width="9.140625" style="1"/>
    <col min="10" max="10" width="11.28515625" style="1" customWidth="1"/>
    <col min="11" max="16384" width="9.140625" style="1"/>
  </cols>
  <sheetData>
    <row r="1" spans="1:10" ht="21.75" thickBot="1" x14ac:dyDescent="0.4">
      <c r="A1" s="257" t="s">
        <v>312</v>
      </c>
      <c r="B1" s="258"/>
      <c r="C1" s="258"/>
      <c r="D1" s="259"/>
    </row>
    <row r="2" spans="1:10" x14ac:dyDescent="0.35">
      <c r="A2" s="180" t="s">
        <v>243</v>
      </c>
      <c r="B2" s="180">
        <v>1060</v>
      </c>
      <c r="C2" s="19" t="s">
        <v>68</v>
      </c>
      <c r="D2" s="19">
        <v>1964</v>
      </c>
    </row>
    <row r="3" spans="1:10" x14ac:dyDescent="0.35">
      <c r="A3" s="181" t="s">
        <v>317</v>
      </c>
      <c r="B3" s="182">
        <v>90</v>
      </c>
    </row>
    <row r="4" spans="1:10" x14ac:dyDescent="0.35">
      <c r="A4" s="315" t="s">
        <v>40</v>
      </c>
      <c r="B4" s="260"/>
      <c r="C4" s="260"/>
      <c r="E4" s="260" t="s">
        <v>325</v>
      </c>
      <c r="F4" s="260"/>
      <c r="G4" s="260"/>
    </row>
    <row r="5" spans="1:10" ht="21.75" thickBot="1" x14ac:dyDescent="0.4">
      <c r="A5" s="19"/>
      <c r="B5" s="19" t="s">
        <v>66</v>
      </c>
      <c r="C5" s="10" t="s">
        <v>68</v>
      </c>
      <c r="E5" s="2" t="s">
        <v>318</v>
      </c>
      <c r="F5" s="2" t="s">
        <v>324</v>
      </c>
      <c r="G5" s="2" t="s">
        <v>319</v>
      </c>
      <c r="I5" s="1" t="s">
        <v>321</v>
      </c>
      <c r="J5" s="1" t="s">
        <v>331</v>
      </c>
    </row>
    <row r="6" spans="1:10" x14ac:dyDescent="0.35">
      <c r="A6" s="2" t="s">
        <v>313</v>
      </c>
      <c r="B6" s="50">
        <f>SUM(B3*4)</f>
        <v>360</v>
      </c>
      <c r="C6" s="186">
        <f>SUM(B2-22)</f>
        <v>1038</v>
      </c>
      <c r="D6" s="36"/>
      <c r="E6" s="185">
        <v>6000</v>
      </c>
      <c r="F6" s="2">
        <f>ROUNDDOWN(SUM(E6/C6),0)</f>
        <v>5</v>
      </c>
      <c r="G6" s="2">
        <f>SUM(B6/F6)</f>
        <v>72</v>
      </c>
      <c r="H6" s="1">
        <f>SUM(G6/90)</f>
        <v>0.8</v>
      </c>
      <c r="I6" s="1" t="s">
        <v>322</v>
      </c>
      <c r="J6" s="221">
        <f>SUM(C6*2.98/1000)*B6/B3</f>
        <v>12.372959999999999</v>
      </c>
    </row>
    <row r="7" spans="1:10" x14ac:dyDescent="0.35">
      <c r="A7" s="2" t="s">
        <v>314</v>
      </c>
      <c r="B7" s="50">
        <f>SUM(B3*8)</f>
        <v>720</v>
      </c>
      <c r="C7" s="187">
        <f>SUM(B2-232)</f>
        <v>828</v>
      </c>
      <c r="D7" s="5"/>
      <c r="E7" s="185">
        <v>6000</v>
      </c>
      <c r="F7" s="2">
        <f t="shared" ref="F7:F10" si="0">ROUNDDOWN(SUM(E7/C7),0)</f>
        <v>7</v>
      </c>
      <c r="G7" s="24">
        <f>SUM(B7/F7)</f>
        <v>102.85714285714286</v>
      </c>
      <c r="H7" s="1">
        <f t="shared" ref="H7:H10" si="1">SUM(G7/90)</f>
        <v>1.1428571428571428</v>
      </c>
      <c r="I7" s="1" t="s">
        <v>322</v>
      </c>
      <c r="J7" s="221">
        <f>SUM(C7*2/1000)*B7/B3</f>
        <v>13.247999999999999</v>
      </c>
    </row>
    <row r="8" spans="1:10" x14ac:dyDescent="0.35">
      <c r="A8" s="2" t="s">
        <v>315</v>
      </c>
      <c r="B8" s="50">
        <f>SUM(B3*2)</f>
        <v>180</v>
      </c>
      <c r="C8" s="187">
        <f>D2</f>
        <v>1964</v>
      </c>
      <c r="D8" s="5"/>
      <c r="E8" s="185">
        <v>6000</v>
      </c>
      <c r="F8" s="2">
        <f t="shared" si="0"/>
        <v>3</v>
      </c>
      <c r="G8" s="2">
        <f t="shared" ref="G8:G10" si="2">SUM(B8/F8)</f>
        <v>60</v>
      </c>
      <c r="H8" s="1">
        <f t="shared" si="1"/>
        <v>0.66666666666666663</v>
      </c>
      <c r="I8" s="1" t="s">
        <v>322</v>
      </c>
      <c r="J8" s="221">
        <f>SUM(C8*5.89/1000)*B8/B3</f>
        <v>23.135919999999999</v>
      </c>
    </row>
    <row r="9" spans="1:10" x14ac:dyDescent="0.35">
      <c r="A9" s="2" t="s">
        <v>316</v>
      </c>
      <c r="B9" s="50">
        <f>B3</f>
        <v>90</v>
      </c>
      <c r="C9" s="187">
        <f>D2</f>
        <v>1964</v>
      </c>
      <c r="D9" s="5"/>
      <c r="E9" s="185">
        <v>6000</v>
      </c>
      <c r="F9" s="2">
        <f t="shared" si="0"/>
        <v>3</v>
      </c>
      <c r="G9" s="2">
        <f t="shared" si="2"/>
        <v>30</v>
      </c>
      <c r="H9" s="1">
        <f t="shared" si="1"/>
        <v>0.33333333333333331</v>
      </c>
      <c r="I9" s="1" t="s">
        <v>322</v>
      </c>
      <c r="J9" s="221">
        <f>SUM(C9*5.89/1000)*B9/B3</f>
        <v>11.567959999999999</v>
      </c>
    </row>
    <row r="10" spans="1:10" ht="21.75" thickBot="1" x14ac:dyDescent="0.4">
      <c r="A10" s="2" t="s">
        <v>320</v>
      </c>
      <c r="B10" s="50">
        <f>SUM(B3*4)</f>
        <v>360</v>
      </c>
      <c r="C10" s="188">
        <v>50</v>
      </c>
      <c r="D10" s="6"/>
      <c r="E10" s="185">
        <v>9000</v>
      </c>
      <c r="F10" s="2">
        <f t="shared" si="0"/>
        <v>180</v>
      </c>
      <c r="G10" s="24">
        <f t="shared" si="2"/>
        <v>2</v>
      </c>
      <c r="H10" s="1">
        <f t="shared" si="1"/>
        <v>2.2222222222222223E-2</v>
      </c>
      <c r="I10" s="1" t="s">
        <v>323</v>
      </c>
      <c r="J10" s="221">
        <f>SUM(C10*7.23/1000)*B10/B3</f>
        <v>1.446</v>
      </c>
    </row>
    <row r="11" spans="1:10" x14ac:dyDescent="0.35">
      <c r="J11" s="247"/>
    </row>
    <row r="12" spans="1:10" x14ac:dyDescent="0.35">
      <c r="A12" s="1" t="s">
        <v>326</v>
      </c>
      <c r="H12" s="307" t="s">
        <v>332</v>
      </c>
      <c r="I12" s="307"/>
      <c r="J12" s="247">
        <f>SUM(J6:J11)</f>
        <v>61.770839999999993</v>
      </c>
    </row>
    <row r="13" spans="1:10" x14ac:dyDescent="0.35">
      <c r="A13" s="1" t="s">
        <v>327</v>
      </c>
    </row>
    <row r="14" spans="1:10" x14ac:dyDescent="0.35">
      <c r="A14" s="1" t="s">
        <v>329</v>
      </c>
    </row>
    <row r="15" spans="1:10" x14ac:dyDescent="0.35">
      <c r="A15" s="1" t="s">
        <v>328</v>
      </c>
    </row>
    <row r="16" spans="1:10" x14ac:dyDescent="0.35">
      <c r="A16" s="1" t="s">
        <v>330</v>
      </c>
    </row>
  </sheetData>
  <mergeCells count="4">
    <mergeCell ref="A1:D1"/>
    <mergeCell ref="A4:C4"/>
    <mergeCell ref="E4:G4"/>
    <mergeCell ref="H12:I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workbookViewId="0">
      <selection activeCell="H17" sqref="H17"/>
    </sheetView>
  </sheetViews>
  <sheetFormatPr defaultColWidth="9.140625" defaultRowHeight="21" x14ac:dyDescent="0.35"/>
  <cols>
    <col min="1" max="1" width="6.28515625" style="1" customWidth="1"/>
    <col min="2" max="2" width="7.5703125" style="1" customWidth="1"/>
    <col min="3" max="3" width="11.5703125" style="1" customWidth="1"/>
    <col min="4" max="4" width="15.42578125" style="1" customWidth="1"/>
    <col min="5" max="16384" width="9.140625" style="1"/>
  </cols>
  <sheetData>
    <row r="1" spans="1:4" ht="21.75" thickBot="1" x14ac:dyDescent="0.4">
      <c r="A1" s="257" t="s">
        <v>65</v>
      </c>
      <c r="B1" s="258"/>
      <c r="C1" s="258"/>
      <c r="D1" s="259"/>
    </row>
    <row r="2" spans="1:4" x14ac:dyDescent="0.35">
      <c r="A2" s="353"/>
      <c r="B2" s="353"/>
      <c r="C2" s="353"/>
      <c r="D2" s="353"/>
    </row>
    <row r="3" spans="1:4" x14ac:dyDescent="0.35">
      <c r="A3" s="2" t="s">
        <v>66</v>
      </c>
      <c r="B3" s="2" t="s">
        <v>67</v>
      </c>
      <c r="C3" s="2" t="s">
        <v>68</v>
      </c>
      <c r="D3" s="2" t="s">
        <v>69</v>
      </c>
    </row>
    <row r="4" spans="1:4" x14ac:dyDescent="0.35">
      <c r="A4" s="34"/>
      <c r="B4" s="239"/>
      <c r="C4" s="34"/>
      <c r="D4" s="34"/>
    </row>
    <row r="5" spans="1:4" x14ac:dyDescent="0.35">
      <c r="A5" s="34"/>
      <c r="B5" s="239"/>
      <c r="C5" s="34"/>
      <c r="D5" s="34"/>
    </row>
    <row r="6" spans="1:4" x14ac:dyDescent="0.35">
      <c r="A6" s="34"/>
      <c r="B6" s="239"/>
      <c r="C6" s="34"/>
      <c r="D6" s="34"/>
    </row>
    <row r="7" spans="1:4" x14ac:dyDescent="0.35">
      <c r="A7" s="34"/>
      <c r="B7" s="239"/>
      <c r="C7" s="34"/>
      <c r="D7" s="34"/>
    </row>
    <row r="8" spans="1:4" x14ac:dyDescent="0.35">
      <c r="A8" s="34"/>
      <c r="B8" s="239"/>
      <c r="C8" s="34"/>
      <c r="D8" s="34"/>
    </row>
    <row r="9" spans="1:4" x14ac:dyDescent="0.35">
      <c r="A9" s="34"/>
      <c r="B9" s="239"/>
      <c r="C9" s="34"/>
      <c r="D9" s="34"/>
    </row>
    <row r="10" spans="1:4" x14ac:dyDescent="0.35">
      <c r="A10" s="34"/>
      <c r="B10" s="239"/>
      <c r="C10" s="34"/>
      <c r="D10" s="34"/>
    </row>
    <row r="11" spans="1:4" x14ac:dyDescent="0.35">
      <c r="A11" s="34"/>
      <c r="B11" s="239"/>
      <c r="C11" s="34"/>
      <c r="D11" s="34"/>
    </row>
    <row r="12" spans="1:4" x14ac:dyDescent="0.35">
      <c r="A12" s="34"/>
      <c r="B12" s="239"/>
      <c r="C12" s="34"/>
      <c r="D12" s="34"/>
    </row>
    <row r="13" spans="1:4" x14ac:dyDescent="0.35">
      <c r="A13" s="34"/>
      <c r="B13" s="239"/>
      <c r="C13" s="34"/>
      <c r="D13" s="34"/>
    </row>
    <row r="14" spans="1:4" x14ac:dyDescent="0.35">
      <c r="A14" s="34"/>
      <c r="B14" s="239"/>
      <c r="C14" s="34"/>
      <c r="D14" s="34"/>
    </row>
    <row r="15" spans="1:4" x14ac:dyDescent="0.35">
      <c r="A15" s="34"/>
      <c r="B15" s="239"/>
      <c r="C15" s="34"/>
      <c r="D15" s="34"/>
    </row>
    <row r="16" spans="1:4" x14ac:dyDescent="0.35">
      <c r="A16" s="34"/>
      <c r="B16" s="239"/>
      <c r="C16" s="34"/>
      <c r="D16" s="34"/>
    </row>
    <row r="17" spans="1:4" x14ac:dyDescent="0.35">
      <c r="A17" s="34"/>
      <c r="B17" s="239"/>
      <c r="C17" s="34"/>
      <c r="D17" s="34"/>
    </row>
    <row r="18" spans="1:4" x14ac:dyDescent="0.35">
      <c r="A18" s="34"/>
      <c r="B18" s="239"/>
      <c r="C18" s="34"/>
      <c r="D18" s="34"/>
    </row>
    <row r="19" spans="1:4" x14ac:dyDescent="0.35">
      <c r="A19" s="34"/>
      <c r="B19" s="239"/>
      <c r="C19" s="34"/>
      <c r="D19" s="34"/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A325B-4CDA-4A63-A1D2-442D2445C5F3}">
  <dimension ref="A1:H17"/>
  <sheetViews>
    <sheetView workbookViewId="0">
      <selection activeCell="L10" sqref="L10"/>
    </sheetView>
  </sheetViews>
  <sheetFormatPr defaultRowHeight="15" x14ac:dyDescent="0.25"/>
  <cols>
    <col min="1" max="1" width="12.7109375" customWidth="1"/>
    <col min="2" max="2" width="17.140625" customWidth="1"/>
    <col min="3" max="3" width="13.28515625" customWidth="1"/>
    <col min="5" max="5" width="13.42578125" customWidth="1"/>
    <col min="7" max="7" width="10.85546875" customWidth="1"/>
  </cols>
  <sheetData>
    <row r="1" spans="1:8" ht="24" thickBot="1" x14ac:dyDescent="0.4">
      <c r="A1" s="354" t="s">
        <v>89</v>
      </c>
      <c r="B1" s="355"/>
      <c r="C1" s="355"/>
      <c r="D1" s="355"/>
      <c r="E1" s="355"/>
      <c r="F1" s="355"/>
      <c r="G1" s="356"/>
      <c r="H1" s="25"/>
    </row>
    <row r="2" spans="1:8" ht="24" thickBot="1" x14ac:dyDescent="0.4">
      <c r="A2" s="357"/>
      <c r="B2" s="357"/>
      <c r="C2" s="357"/>
      <c r="D2" s="357"/>
      <c r="E2" s="357"/>
      <c r="F2" s="357"/>
      <c r="G2" s="357"/>
      <c r="H2" s="25"/>
    </row>
    <row r="3" spans="1:8" ht="23.25" x14ac:dyDescent="0.35">
      <c r="A3" s="40" t="s">
        <v>90</v>
      </c>
      <c r="B3" s="41" t="s">
        <v>0</v>
      </c>
      <c r="C3" s="41" t="s">
        <v>68</v>
      </c>
      <c r="D3" s="41" t="s">
        <v>66</v>
      </c>
      <c r="E3" s="41" t="s">
        <v>68</v>
      </c>
      <c r="F3" s="41" t="s">
        <v>66</v>
      </c>
      <c r="G3" s="42" t="s">
        <v>91</v>
      </c>
      <c r="H3" s="25"/>
    </row>
    <row r="4" spans="1:8" ht="23.25" x14ac:dyDescent="0.35">
      <c r="A4" s="240">
        <v>1.56</v>
      </c>
      <c r="B4" s="27" t="s">
        <v>92</v>
      </c>
      <c r="C4" s="245"/>
      <c r="D4" s="135"/>
      <c r="E4" s="245"/>
      <c r="F4" s="135"/>
      <c r="G4" s="242">
        <f>SUM(A4*C4)*D4+(A4*E4)*F4</f>
        <v>0</v>
      </c>
      <c r="H4" s="25"/>
    </row>
    <row r="5" spans="1:8" ht="23.25" x14ac:dyDescent="0.35">
      <c r="A5" s="240">
        <v>2.41</v>
      </c>
      <c r="B5" s="43" t="s">
        <v>93</v>
      </c>
      <c r="C5" s="245"/>
      <c r="D5" s="135"/>
      <c r="E5" s="245"/>
      <c r="F5" s="135"/>
      <c r="G5" s="242">
        <f t="shared" ref="G5:G14" si="0">SUM(A5*C5)*D5+(A5*E5)*F5</f>
        <v>0</v>
      </c>
      <c r="H5" s="25"/>
    </row>
    <row r="6" spans="1:8" ht="23.25" x14ac:dyDescent="0.35">
      <c r="A6" s="240">
        <v>1.99</v>
      </c>
      <c r="B6" s="27" t="s">
        <v>94</v>
      </c>
      <c r="C6" s="245"/>
      <c r="D6" s="135"/>
      <c r="E6" s="245"/>
      <c r="F6" s="135"/>
      <c r="G6" s="242">
        <f t="shared" si="0"/>
        <v>0</v>
      </c>
      <c r="H6" s="25"/>
    </row>
    <row r="7" spans="1:8" ht="23.25" x14ac:dyDescent="0.35">
      <c r="A7" s="240">
        <v>3.09</v>
      </c>
      <c r="B7" s="43" t="s">
        <v>95</v>
      </c>
      <c r="C7" s="245"/>
      <c r="D7" s="135"/>
      <c r="E7" s="245"/>
      <c r="F7" s="135"/>
      <c r="G7" s="242">
        <f t="shared" si="0"/>
        <v>0</v>
      </c>
      <c r="H7" s="25"/>
    </row>
    <row r="8" spans="1:8" ht="23.25" x14ac:dyDescent="0.35">
      <c r="A8" s="240">
        <v>2.61</v>
      </c>
      <c r="B8" s="27" t="s">
        <v>96</v>
      </c>
      <c r="C8" s="245"/>
      <c r="D8" s="135"/>
      <c r="E8" s="245"/>
      <c r="F8" s="135"/>
      <c r="G8" s="242">
        <f t="shared" si="0"/>
        <v>0</v>
      </c>
      <c r="H8" s="25"/>
    </row>
    <row r="9" spans="1:8" ht="23.25" x14ac:dyDescent="0.35">
      <c r="A9" s="240">
        <v>3.56</v>
      </c>
      <c r="B9" s="43" t="s">
        <v>97</v>
      </c>
      <c r="C9" s="245"/>
      <c r="D9" s="135"/>
      <c r="E9" s="245"/>
      <c r="F9" s="135"/>
      <c r="G9" s="242">
        <f t="shared" si="0"/>
        <v>0</v>
      </c>
      <c r="H9" s="25"/>
    </row>
    <row r="10" spans="1:8" ht="23.25" x14ac:dyDescent="0.35">
      <c r="A10" s="240">
        <v>3.29</v>
      </c>
      <c r="B10" s="27" t="s">
        <v>98</v>
      </c>
      <c r="C10" s="245"/>
      <c r="D10" s="135"/>
      <c r="E10" s="245"/>
      <c r="F10" s="135"/>
      <c r="G10" s="242">
        <f t="shared" si="0"/>
        <v>0</v>
      </c>
      <c r="H10" s="25"/>
    </row>
    <row r="11" spans="1:8" ht="23.25" x14ac:dyDescent="0.35">
      <c r="A11" s="240">
        <v>5.03</v>
      </c>
      <c r="B11" s="43" t="s">
        <v>99</v>
      </c>
      <c r="C11" s="245"/>
      <c r="D11" s="135"/>
      <c r="E11" s="245"/>
      <c r="F11" s="135"/>
      <c r="G11" s="242">
        <f t="shared" si="0"/>
        <v>0</v>
      </c>
      <c r="H11" s="25"/>
    </row>
    <row r="12" spans="1:8" ht="23.25" x14ac:dyDescent="0.35">
      <c r="A12" s="240">
        <v>6.44</v>
      </c>
      <c r="B12" s="43" t="s">
        <v>100</v>
      </c>
      <c r="C12" s="245"/>
      <c r="D12" s="135"/>
      <c r="E12" s="245"/>
      <c r="F12" s="135"/>
      <c r="G12" s="242">
        <f t="shared" si="0"/>
        <v>0</v>
      </c>
      <c r="H12" s="25"/>
    </row>
    <row r="13" spans="1:8" ht="23.25" x14ac:dyDescent="0.35">
      <c r="A13" s="240">
        <v>8.3800000000000008</v>
      </c>
      <c r="B13" s="43" t="s">
        <v>101</v>
      </c>
      <c r="C13" s="245"/>
      <c r="D13" s="135"/>
      <c r="E13" s="245"/>
      <c r="F13" s="135"/>
      <c r="G13" s="242">
        <f t="shared" si="0"/>
        <v>0</v>
      </c>
      <c r="H13" s="25"/>
    </row>
    <row r="14" spans="1:8" ht="24" thickBot="1" x14ac:dyDescent="0.4">
      <c r="A14" s="241">
        <v>12.2</v>
      </c>
      <c r="B14" s="44" t="s">
        <v>102</v>
      </c>
      <c r="C14" s="246"/>
      <c r="D14" s="136"/>
      <c r="E14" s="246"/>
      <c r="F14" s="136"/>
      <c r="G14" s="243">
        <f t="shared" si="0"/>
        <v>0</v>
      </c>
      <c r="H14" s="25"/>
    </row>
    <row r="15" spans="1:8" ht="24" thickBot="1" x14ac:dyDescent="0.4">
      <c r="A15" s="25"/>
      <c r="B15" s="25"/>
      <c r="C15" s="25"/>
      <c r="D15" s="25"/>
      <c r="E15" s="25"/>
      <c r="F15" s="25"/>
      <c r="G15" s="25"/>
      <c r="H15" s="25"/>
    </row>
    <row r="16" spans="1:8" ht="24" thickBot="1" x14ac:dyDescent="0.4">
      <c r="A16" s="25"/>
      <c r="B16" s="28"/>
      <c r="C16" s="25"/>
      <c r="D16" s="25"/>
      <c r="E16" s="25"/>
      <c r="F16" s="25"/>
      <c r="G16" s="244">
        <f>SUM(G4:G15)</f>
        <v>0</v>
      </c>
      <c r="H16" s="25"/>
    </row>
    <row r="17" spans="1:8" ht="23.25" x14ac:dyDescent="0.35">
      <c r="A17" s="25"/>
      <c r="B17" s="25"/>
      <c r="C17" s="25"/>
      <c r="D17" s="25"/>
      <c r="E17" s="25"/>
      <c r="F17" s="25"/>
      <c r="G17" s="25"/>
      <c r="H17" s="25"/>
    </row>
  </sheetData>
  <mergeCells count="2">
    <mergeCell ref="A1:G1"/>
    <mergeCell ref="A2:G2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EAAB0-0AF0-4DC1-B299-1166E4D3F212}">
  <dimension ref="A1:C36"/>
  <sheetViews>
    <sheetView workbookViewId="0">
      <selection activeCell="K29" sqref="K29"/>
    </sheetView>
  </sheetViews>
  <sheetFormatPr defaultRowHeight="15" x14ac:dyDescent="0.25"/>
  <cols>
    <col min="1" max="1" width="29.85546875" customWidth="1"/>
    <col min="3" max="3" width="36.7109375" customWidth="1"/>
  </cols>
  <sheetData>
    <row r="1" spans="1:3" x14ac:dyDescent="0.25">
      <c r="A1" s="80" t="s">
        <v>167</v>
      </c>
      <c r="B1" s="80"/>
      <c r="C1" s="80"/>
    </row>
    <row r="2" spans="1:3" x14ac:dyDescent="0.25">
      <c r="A2" s="358"/>
      <c r="B2" s="359"/>
      <c r="C2" s="360"/>
    </row>
    <row r="3" spans="1:3" x14ac:dyDescent="0.25">
      <c r="A3" s="81" t="s">
        <v>168</v>
      </c>
      <c r="B3" s="80"/>
      <c r="C3" s="80"/>
    </row>
    <row r="4" spans="1:3" x14ac:dyDescent="0.25">
      <c r="A4" s="80"/>
      <c r="B4" s="80" t="s">
        <v>196</v>
      </c>
      <c r="C4" s="80" t="s">
        <v>197</v>
      </c>
    </row>
    <row r="5" spans="1:3" x14ac:dyDescent="0.25">
      <c r="A5" s="80" t="s">
        <v>169</v>
      </c>
      <c r="B5" s="80"/>
      <c r="C5" s="80"/>
    </row>
    <row r="6" spans="1:3" x14ac:dyDescent="0.25">
      <c r="A6" s="80" t="s">
        <v>170</v>
      </c>
      <c r="B6" s="80"/>
      <c r="C6" s="80"/>
    </row>
    <row r="7" spans="1:3" x14ac:dyDescent="0.25">
      <c r="A7" s="80" t="s">
        <v>171</v>
      </c>
      <c r="B7" s="80"/>
      <c r="C7" s="80"/>
    </row>
    <row r="8" spans="1:3" x14ac:dyDescent="0.25">
      <c r="A8" s="80" t="s">
        <v>172</v>
      </c>
      <c r="B8" s="80"/>
      <c r="C8" s="80"/>
    </row>
    <row r="9" spans="1:3" x14ac:dyDescent="0.25">
      <c r="A9" s="80" t="s">
        <v>173</v>
      </c>
      <c r="B9" s="80"/>
      <c r="C9" s="80"/>
    </row>
    <row r="10" spans="1:3" x14ac:dyDescent="0.25">
      <c r="A10" s="80" t="s">
        <v>174</v>
      </c>
      <c r="B10" s="80"/>
      <c r="C10" s="80"/>
    </row>
    <row r="11" spans="1:3" x14ac:dyDescent="0.25">
      <c r="A11" s="80" t="s">
        <v>175</v>
      </c>
      <c r="B11" s="80"/>
      <c r="C11" s="80"/>
    </row>
    <row r="12" spans="1:3" x14ac:dyDescent="0.25">
      <c r="A12" s="80" t="s">
        <v>176</v>
      </c>
      <c r="B12" s="80"/>
      <c r="C12" s="80"/>
    </row>
    <row r="13" spans="1:3" x14ac:dyDescent="0.25">
      <c r="A13" s="80" t="s">
        <v>177</v>
      </c>
      <c r="B13" s="80"/>
      <c r="C13" s="80"/>
    </row>
    <row r="14" spans="1:3" x14ac:dyDescent="0.25">
      <c r="A14" s="80" t="s">
        <v>178</v>
      </c>
      <c r="B14" s="80"/>
      <c r="C14" s="80"/>
    </row>
    <row r="15" spans="1:3" x14ac:dyDescent="0.25">
      <c r="A15" s="80" t="s">
        <v>178</v>
      </c>
      <c r="B15" s="80"/>
      <c r="C15" s="80"/>
    </row>
    <row r="16" spans="1:3" x14ac:dyDescent="0.25">
      <c r="A16" s="80" t="s">
        <v>179</v>
      </c>
      <c r="B16" s="80"/>
      <c r="C16" s="80"/>
    </row>
    <row r="17" spans="1:3" x14ac:dyDescent="0.25">
      <c r="A17" s="358"/>
      <c r="B17" s="359"/>
      <c r="C17" s="360"/>
    </row>
    <row r="18" spans="1:3" x14ac:dyDescent="0.25">
      <c r="A18" s="81" t="s">
        <v>180</v>
      </c>
      <c r="B18" s="80"/>
      <c r="C18" s="80"/>
    </row>
    <row r="19" spans="1:3" x14ac:dyDescent="0.25">
      <c r="A19" s="80" t="s">
        <v>181</v>
      </c>
      <c r="B19" s="80"/>
      <c r="C19" s="80"/>
    </row>
    <row r="20" spans="1:3" x14ac:dyDescent="0.25">
      <c r="A20" s="80" t="s">
        <v>182</v>
      </c>
      <c r="B20" s="80"/>
      <c r="C20" s="80"/>
    </row>
    <row r="21" spans="1:3" x14ac:dyDescent="0.25">
      <c r="A21" s="80" t="s">
        <v>183</v>
      </c>
      <c r="B21" s="80"/>
      <c r="C21" s="80"/>
    </row>
    <row r="22" spans="1:3" x14ac:dyDescent="0.25">
      <c r="A22" s="81" t="s">
        <v>184</v>
      </c>
      <c r="B22" s="80"/>
      <c r="C22" s="80"/>
    </row>
    <row r="23" spans="1:3" x14ac:dyDescent="0.25">
      <c r="A23" s="80" t="s">
        <v>185</v>
      </c>
      <c r="B23" s="80"/>
      <c r="C23" s="80"/>
    </row>
    <row r="24" spans="1:3" x14ac:dyDescent="0.25">
      <c r="A24" s="80" t="s">
        <v>186</v>
      </c>
      <c r="B24" s="80"/>
      <c r="C24" s="80"/>
    </row>
    <row r="25" spans="1:3" x14ac:dyDescent="0.25">
      <c r="A25" s="80" t="s">
        <v>187</v>
      </c>
      <c r="B25" s="80"/>
      <c r="C25" s="80"/>
    </row>
    <row r="26" spans="1:3" x14ac:dyDescent="0.25">
      <c r="A26" s="80" t="s">
        <v>188</v>
      </c>
      <c r="B26" s="80"/>
      <c r="C26" s="80"/>
    </row>
    <row r="27" spans="1:3" x14ac:dyDescent="0.25">
      <c r="A27" s="80" t="s">
        <v>189</v>
      </c>
      <c r="B27" s="80"/>
      <c r="C27" s="80"/>
    </row>
    <row r="28" spans="1:3" x14ac:dyDescent="0.25">
      <c r="A28" s="80" t="s">
        <v>190</v>
      </c>
      <c r="B28" s="80"/>
      <c r="C28" s="80"/>
    </row>
    <row r="29" spans="1:3" x14ac:dyDescent="0.25">
      <c r="A29" s="80" t="s">
        <v>191</v>
      </c>
      <c r="B29" s="80"/>
      <c r="C29" s="80"/>
    </row>
    <row r="30" spans="1:3" x14ac:dyDescent="0.25">
      <c r="A30" s="358"/>
      <c r="B30" s="359"/>
      <c r="C30" s="360"/>
    </row>
    <row r="31" spans="1:3" x14ac:dyDescent="0.25">
      <c r="A31" s="81" t="s">
        <v>192</v>
      </c>
      <c r="B31" s="80"/>
      <c r="C31" s="80"/>
    </row>
    <row r="32" spans="1:3" x14ac:dyDescent="0.25">
      <c r="A32" s="80" t="s">
        <v>193</v>
      </c>
      <c r="B32" s="80"/>
      <c r="C32" s="80"/>
    </row>
    <row r="33" spans="1:3" x14ac:dyDescent="0.25">
      <c r="A33" s="80" t="s">
        <v>194</v>
      </c>
      <c r="B33" s="80"/>
      <c r="C33" s="80"/>
    </row>
    <row r="34" spans="1:3" x14ac:dyDescent="0.25">
      <c r="A34" s="80" t="s">
        <v>195</v>
      </c>
      <c r="B34" s="80"/>
      <c r="C34" s="80"/>
    </row>
    <row r="35" spans="1:3" x14ac:dyDescent="0.25">
      <c r="C35" t="s">
        <v>198</v>
      </c>
    </row>
    <row r="36" spans="1:3" x14ac:dyDescent="0.25">
      <c r="C36" t="s">
        <v>199</v>
      </c>
    </row>
  </sheetData>
  <mergeCells count="3">
    <mergeCell ref="A2:C2"/>
    <mergeCell ref="A17:C17"/>
    <mergeCell ref="A30:C30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04D5D-EC8A-4720-B6D3-458BDA9E74E5}">
  <dimension ref="A2:H7"/>
  <sheetViews>
    <sheetView workbookViewId="0">
      <selection activeCell="R10" sqref="R10"/>
    </sheetView>
  </sheetViews>
  <sheetFormatPr defaultRowHeight="23.25" x14ac:dyDescent="0.35"/>
  <cols>
    <col min="1" max="1" width="9.140625" style="25"/>
    <col min="2" max="2" width="18" style="25" customWidth="1"/>
    <col min="3" max="3" width="11.7109375" style="25" customWidth="1"/>
    <col min="4" max="4" width="18.42578125" style="25" customWidth="1"/>
    <col min="5" max="5" width="17.140625" style="25" customWidth="1"/>
    <col min="6" max="16384" width="9.140625" style="25"/>
  </cols>
  <sheetData>
    <row r="2" spans="1:8" x14ac:dyDescent="0.35">
      <c r="A2" s="27"/>
      <c r="B2" s="27"/>
      <c r="C2" s="27"/>
      <c r="D2" s="27" t="s">
        <v>261</v>
      </c>
      <c r="E2" s="27" t="s">
        <v>260</v>
      </c>
      <c r="F2" s="27" t="s">
        <v>259</v>
      </c>
      <c r="G2" s="27"/>
      <c r="H2" s="27"/>
    </row>
    <row r="3" spans="1:8" x14ac:dyDescent="0.35">
      <c r="A3" s="27" t="s">
        <v>256</v>
      </c>
      <c r="B3" s="27" t="s">
        <v>254</v>
      </c>
      <c r="C3" s="27" t="s">
        <v>255</v>
      </c>
      <c r="D3" s="27" t="s">
        <v>264</v>
      </c>
      <c r="E3" s="27" t="s">
        <v>263</v>
      </c>
      <c r="F3" s="27" t="s">
        <v>265</v>
      </c>
      <c r="G3" s="27"/>
      <c r="H3" s="27" t="s">
        <v>2</v>
      </c>
    </row>
    <row r="4" spans="1:8" x14ac:dyDescent="0.35">
      <c r="A4" s="27" t="s">
        <v>257</v>
      </c>
      <c r="B4" s="152">
        <v>74</v>
      </c>
      <c r="C4" s="27">
        <f>SUM(B4/37)</f>
        <v>2</v>
      </c>
      <c r="D4" s="27">
        <f>SUM(B4*2)</f>
        <v>148</v>
      </c>
      <c r="E4" s="27"/>
      <c r="F4" s="27">
        <f>SUM(D4*2)</f>
        <v>296</v>
      </c>
      <c r="G4" s="27"/>
      <c r="H4" s="27">
        <f>SUM(D4+E5+E6)</f>
        <v>400</v>
      </c>
    </row>
    <row r="5" spans="1:8" x14ac:dyDescent="0.35">
      <c r="A5" s="27" t="s">
        <v>257</v>
      </c>
      <c r="B5" s="152">
        <v>74</v>
      </c>
      <c r="C5" s="27">
        <f>SUM(B5/37)</f>
        <v>2</v>
      </c>
      <c r="D5" s="27"/>
      <c r="E5" s="27">
        <f>SUM(B5*3)</f>
        <v>222</v>
      </c>
      <c r="F5" s="27"/>
      <c r="G5" s="27"/>
      <c r="H5" s="27"/>
    </row>
    <row r="6" spans="1:8" x14ac:dyDescent="0.35">
      <c r="A6" s="27" t="s">
        <v>258</v>
      </c>
      <c r="B6" s="152">
        <v>10</v>
      </c>
      <c r="C6" s="27"/>
      <c r="D6" s="27"/>
      <c r="E6" s="27">
        <f>SUM(B6*3)</f>
        <v>30</v>
      </c>
      <c r="F6" s="27"/>
      <c r="G6" s="27"/>
      <c r="H6" s="27"/>
    </row>
    <row r="7" spans="1:8" x14ac:dyDescent="0.35">
      <c r="A7" s="27"/>
      <c r="B7" s="27"/>
      <c r="C7" s="27"/>
      <c r="D7" s="27" t="s">
        <v>262</v>
      </c>
      <c r="E7" s="27">
        <f>SUM(F4-E5-E6)</f>
        <v>44</v>
      </c>
      <c r="F7" s="27"/>
      <c r="G7" s="27"/>
      <c r="H7" s="27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37E8-D6AE-4FD0-B2BF-CE40C227C186}">
  <sheetPr>
    <pageSetUpPr fitToPage="1"/>
  </sheetPr>
  <dimension ref="A1:F30"/>
  <sheetViews>
    <sheetView workbookViewId="0">
      <selection activeCell="G40" sqref="G40"/>
    </sheetView>
  </sheetViews>
  <sheetFormatPr defaultRowHeight="15" x14ac:dyDescent="0.25"/>
  <cols>
    <col min="1" max="1" width="85.28515625" customWidth="1"/>
    <col min="2" max="2" width="6.5703125" customWidth="1"/>
    <col min="3" max="3" width="6.140625" customWidth="1"/>
    <col min="4" max="4" width="7.85546875" customWidth="1"/>
    <col min="5" max="5" width="33" customWidth="1"/>
    <col min="6" max="6" width="12.42578125" customWidth="1"/>
  </cols>
  <sheetData>
    <row r="1" spans="1:6" ht="36.75" customHeight="1" thickBot="1" x14ac:dyDescent="0.4">
      <c r="A1" s="171" t="s">
        <v>305</v>
      </c>
      <c r="B1" s="172"/>
      <c r="C1" s="172"/>
      <c r="D1" s="172"/>
      <c r="E1" s="172" t="s">
        <v>307</v>
      </c>
      <c r="F1" s="173" t="s">
        <v>308</v>
      </c>
    </row>
    <row r="2" spans="1:6" ht="25.5" customHeight="1" thickBot="1" x14ac:dyDescent="0.3">
      <c r="A2" s="165" t="s">
        <v>266</v>
      </c>
      <c r="B2" s="176"/>
      <c r="C2" s="177"/>
      <c r="D2" s="178"/>
      <c r="E2" s="386" t="s">
        <v>267</v>
      </c>
      <c r="F2" s="387"/>
    </row>
    <row r="3" spans="1:6" ht="25.5" customHeight="1" thickBot="1" x14ac:dyDescent="0.3">
      <c r="A3" s="165" t="s">
        <v>268</v>
      </c>
      <c r="B3" s="174"/>
      <c r="C3" s="175"/>
      <c r="D3" s="179"/>
      <c r="E3" s="388" t="s">
        <v>269</v>
      </c>
      <c r="F3" s="389"/>
    </row>
    <row r="4" spans="1:6" ht="23.25" thickBot="1" x14ac:dyDescent="0.3">
      <c r="A4" s="170" t="s">
        <v>306</v>
      </c>
      <c r="B4" s="164" t="s">
        <v>296</v>
      </c>
      <c r="C4" s="164" t="s">
        <v>297</v>
      </c>
      <c r="D4" s="164" t="s">
        <v>298</v>
      </c>
      <c r="E4" s="392"/>
      <c r="F4" s="393"/>
    </row>
    <row r="5" spans="1:6" ht="21" thickBot="1" x14ac:dyDescent="0.3">
      <c r="A5" s="157" t="s">
        <v>270</v>
      </c>
      <c r="B5" s="378"/>
      <c r="C5" s="378"/>
      <c r="D5" s="378"/>
      <c r="E5" s="390" t="s">
        <v>271</v>
      </c>
      <c r="F5" s="391"/>
    </row>
    <row r="6" spans="1:6" ht="21" thickBot="1" x14ac:dyDescent="0.3">
      <c r="A6" s="158" t="s">
        <v>272</v>
      </c>
      <c r="B6" s="383"/>
      <c r="C6" s="383"/>
      <c r="D6" s="383"/>
      <c r="E6" s="384"/>
      <c r="F6" s="385"/>
    </row>
    <row r="7" spans="1:6" ht="21" thickBot="1" x14ac:dyDescent="0.3">
      <c r="A7" s="160" t="s">
        <v>273</v>
      </c>
      <c r="B7" s="370"/>
      <c r="C7" s="370"/>
      <c r="D7" s="370"/>
      <c r="E7" s="155" t="s">
        <v>271</v>
      </c>
      <c r="F7" s="161"/>
    </row>
    <row r="8" spans="1:6" ht="21" thickBot="1" x14ac:dyDescent="0.3">
      <c r="A8" s="162" t="s">
        <v>274</v>
      </c>
      <c r="B8" s="383"/>
      <c r="C8" s="383"/>
      <c r="D8" s="383"/>
      <c r="E8" s="154" t="s">
        <v>311</v>
      </c>
      <c r="F8" s="159"/>
    </row>
    <row r="9" spans="1:6" ht="21" thickBot="1" x14ac:dyDescent="0.3">
      <c r="A9" s="160" t="s">
        <v>275</v>
      </c>
      <c r="B9" s="370"/>
      <c r="C9" s="370"/>
      <c r="D9" s="370"/>
      <c r="E9" s="372" t="s">
        <v>295</v>
      </c>
      <c r="F9" s="373"/>
    </row>
    <row r="10" spans="1:6" ht="21" thickBot="1" x14ac:dyDescent="0.3">
      <c r="A10" s="162" t="s">
        <v>276</v>
      </c>
      <c r="B10" s="383"/>
      <c r="C10" s="383"/>
      <c r="D10" s="383"/>
      <c r="E10" s="384"/>
      <c r="F10" s="385"/>
    </row>
    <row r="11" spans="1:6" ht="21" thickBot="1" x14ac:dyDescent="0.3">
      <c r="A11" s="160" t="s">
        <v>277</v>
      </c>
      <c r="B11" s="370"/>
      <c r="C11" s="370"/>
      <c r="D11" s="370"/>
      <c r="E11" s="372" t="s">
        <v>271</v>
      </c>
      <c r="F11" s="373"/>
    </row>
    <row r="12" spans="1:6" ht="21" thickBot="1" x14ac:dyDescent="0.3">
      <c r="A12" s="162" t="s">
        <v>278</v>
      </c>
      <c r="B12" s="383"/>
      <c r="C12" s="383"/>
      <c r="D12" s="383"/>
      <c r="E12" s="384"/>
      <c r="F12" s="385"/>
    </row>
    <row r="13" spans="1:6" ht="21" thickBot="1" x14ac:dyDescent="0.3">
      <c r="A13" s="160" t="s">
        <v>279</v>
      </c>
      <c r="B13" s="370"/>
      <c r="C13" s="370"/>
      <c r="D13" s="370"/>
      <c r="E13" s="372" t="s">
        <v>271</v>
      </c>
      <c r="F13" s="373"/>
    </row>
    <row r="14" spans="1:6" ht="21" thickBot="1" x14ac:dyDescent="0.3">
      <c r="A14" s="162" t="s">
        <v>280</v>
      </c>
      <c r="B14" s="383"/>
      <c r="C14" s="383"/>
      <c r="D14" s="383"/>
      <c r="E14" s="384"/>
      <c r="F14" s="385"/>
    </row>
    <row r="15" spans="1:6" ht="21" thickBot="1" x14ac:dyDescent="0.3">
      <c r="A15" s="160" t="s">
        <v>309</v>
      </c>
      <c r="B15" s="370"/>
      <c r="C15" s="370"/>
      <c r="D15" s="370"/>
      <c r="E15" s="372" t="s">
        <v>271</v>
      </c>
      <c r="F15" s="373"/>
    </row>
    <row r="16" spans="1:6" ht="21" thickBot="1" x14ac:dyDescent="0.3">
      <c r="A16" s="162" t="s">
        <v>310</v>
      </c>
      <c r="B16" s="383"/>
      <c r="C16" s="383"/>
      <c r="D16" s="383"/>
      <c r="E16" s="384"/>
      <c r="F16" s="385"/>
    </row>
    <row r="17" spans="1:6" ht="21" thickBot="1" x14ac:dyDescent="0.3">
      <c r="A17" s="160" t="s">
        <v>281</v>
      </c>
      <c r="B17" s="370"/>
      <c r="C17" s="370"/>
      <c r="D17" s="370"/>
      <c r="E17" s="372" t="s">
        <v>271</v>
      </c>
      <c r="F17" s="373"/>
    </row>
    <row r="18" spans="1:6" ht="21" thickBot="1" x14ac:dyDescent="0.3">
      <c r="A18" s="162" t="s">
        <v>282</v>
      </c>
      <c r="B18" s="383"/>
      <c r="C18" s="383"/>
      <c r="D18" s="383"/>
      <c r="E18" s="384"/>
      <c r="F18" s="385"/>
    </row>
    <row r="19" spans="1:6" ht="21" thickBot="1" x14ac:dyDescent="0.3">
      <c r="A19" s="160" t="s">
        <v>294</v>
      </c>
      <c r="B19" s="370"/>
      <c r="C19" s="370"/>
      <c r="D19" s="370"/>
      <c r="E19" s="372" t="s">
        <v>271</v>
      </c>
      <c r="F19" s="373"/>
    </row>
    <row r="20" spans="1:6" ht="21" thickBot="1" x14ac:dyDescent="0.3">
      <c r="A20" s="162" t="s">
        <v>283</v>
      </c>
      <c r="B20" s="383"/>
      <c r="C20" s="383"/>
      <c r="D20" s="383"/>
      <c r="E20" s="384"/>
      <c r="F20" s="385"/>
    </row>
    <row r="21" spans="1:6" ht="21" thickBot="1" x14ac:dyDescent="0.3">
      <c r="A21" s="160" t="s">
        <v>284</v>
      </c>
      <c r="B21" s="370"/>
      <c r="C21" s="370"/>
      <c r="D21" s="370"/>
      <c r="E21" s="372" t="s">
        <v>271</v>
      </c>
      <c r="F21" s="373"/>
    </row>
    <row r="22" spans="1:6" ht="21" thickBot="1" x14ac:dyDescent="0.3">
      <c r="A22" s="162" t="s">
        <v>285</v>
      </c>
      <c r="B22" s="383"/>
      <c r="C22" s="383"/>
      <c r="D22" s="383"/>
      <c r="E22" s="384"/>
      <c r="F22" s="385"/>
    </row>
    <row r="23" spans="1:6" ht="21" thickBot="1" x14ac:dyDescent="0.3">
      <c r="A23" s="160" t="s">
        <v>286</v>
      </c>
      <c r="B23" s="370"/>
      <c r="C23" s="370"/>
      <c r="D23" s="370"/>
      <c r="E23" s="372" t="s">
        <v>271</v>
      </c>
      <c r="F23" s="373"/>
    </row>
    <row r="24" spans="1:6" ht="21" thickBot="1" x14ac:dyDescent="0.3">
      <c r="A24" s="163" t="s">
        <v>287</v>
      </c>
      <c r="B24" s="371"/>
      <c r="C24" s="371"/>
      <c r="D24" s="371"/>
      <c r="E24" s="374"/>
      <c r="F24" s="375"/>
    </row>
    <row r="25" spans="1:6" ht="15.75" thickBot="1" x14ac:dyDescent="0.3">
      <c r="A25" s="166"/>
      <c r="B25" s="156"/>
      <c r="C25" s="156"/>
      <c r="D25" s="156"/>
      <c r="E25" s="156"/>
      <c r="F25" s="167"/>
    </row>
    <row r="26" spans="1:6" ht="20.25" customHeight="1" thickBot="1" x14ac:dyDescent="0.3">
      <c r="A26" s="168" t="s">
        <v>288</v>
      </c>
      <c r="B26" s="153"/>
      <c r="C26" s="153"/>
      <c r="D26" s="153"/>
      <c r="E26" s="364" t="s">
        <v>303</v>
      </c>
      <c r="F26" s="365"/>
    </row>
    <row r="27" spans="1:6" ht="27" thickBot="1" x14ac:dyDescent="0.3">
      <c r="A27" s="169" t="s">
        <v>290</v>
      </c>
      <c r="B27" s="153" t="s">
        <v>299</v>
      </c>
      <c r="C27" s="153" t="s">
        <v>300</v>
      </c>
      <c r="D27" s="153" t="s">
        <v>301</v>
      </c>
      <c r="E27" s="366" t="s">
        <v>302</v>
      </c>
      <c r="F27" s="367"/>
    </row>
    <row r="28" spans="1:6" ht="16.5" thickBot="1" x14ac:dyDescent="0.3">
      <c r="A28" s="368" t="s">
        <v>293</v>
      </c>
      <c r="B28" s="370"/>
      <c r="C28" s="379" t="s">
        <v>291</v>
      </c>
      <c r="D28" s="379" t="s">
        <v>292</v>
      </c>
      <c r="E28" s="381" t="s">
        <v>304</v>
      </c>
      <c r="F28" s="382"/>
    </row>
    <row r="29" spans="1:6" ht="15.75" thickBot="1" x14ac:dyDescent="0.3">
      <c r="A29" s="369"/>
      <c r="B29" s="378"/>
      <c r="C29" s="380"/>
      <c r="D29" s="380"/>
      <c r="E29" s="376" t="s">
        <v>289</v>
      </c>
      <c r="F29" s="377"/>
    </row>
    <row r="30" spans="1:6" ht="24.75" customHeight="1" thickBot="1" x14ac:dyDescent="0.3">
      <c r="A30" s="361"/>
      <c r="B30" s="362"/>
      <c r="C30" s="362"/>
      <c r="D30" s="362"/>
      <c r="E30" s="362"/>
      <c r="F30" s="363"/>
    </row>
  </sheetData>
  <mergeCells count="51">
    <mergeCell ref="E2:F2"/>
    <mergeCell ref="E3:F3"/>
    <mergeCell ref="B5:B6"/>
    <mergeCell ref="C5:C6"/>
    <mergeCell ref="D5:D6"/>
    <mergeCell ref="E5:F6"/>
    <mergeCell ref="E4:F4"/>
    <mergeCell ref="B7:B8"/>
    <mergeCell ref="C7:C8"/>
    <mergeCell ref="D7:D8"/>
    <mergeCell ref="B9:B10"/>
    <mergeCell ref="C9:C10"/>
    <mergeCell ref="D9:D10"/>
    <mergeCell ref="E9:F10"/>
    <mergeCell ref="B11:B12"/>
    <mergeCell ref="C11:C12"/>
    <mergeCell ref="D11:D12"/>
    <mergeCell ref="E11:F12"/>
    <mergeCell ref="B21:B22"/>
    <mergeCell ref="C21:C22"/>
    <mergeCell ref="D21:D22"/>
    <mergeCell ref="E21:F22"/>
    <mergeCell ref="B13:B14"/>
    <mergeCell ref="C13:C14"/>
    <mergeCell ref="D13:D14"/>
    <mergeCell ref="E13:F14"/>
    <mergeCell ref="B15:B16"/>
    <mergeCell ref="C15:C16"/>
    <mergeCell ref="D15:D16"/>
    <mergeCell ref="E15:F16"/>
    <mergeCell ref="B17:B18"/>
    <mergeCell ref="C17:C18"/>
    <mergeCell ref="D17:D18"/>
    <mergeCell ref="E17:F18"/>
    <mergeCell ref="C19:C20"/>
    <mergeCell ref="D19:D20"/>
    <mergeCell ref="E19:F20"/>
    <mergeCell ref="B19:B20"/>
    <mergeCell ref="A30:F30"/>
    <mergeCell ref="E26:F26"/>
    <mergeCell ref="E27:F27"/>
    <mergeCell ref="A28:A29"/>
    <mergeCell ref="B23:B24"/>
    <mergeCell ref="C23:C24"/>
    <mergeCell ref="D23:D24"/>
    <mergeCell ref="E23:F24"/>
    <mergeCell ref="E29:F29"/>
    <mergeCell ref="B28:B29"/>
    <mergeCell ref="C28:C29"/>
    <mergeCell ref="D28:D29"/>
    <mergeCell ref="E28:F28"/>
  </mergeCells>
  <pageMargins left="0.7" right="0.7" top="0.75" bottom="0.75" header="0.3" footer="0.3"/>
  <pageSetup scale="81" orientation="landscape" horizontalDpi="1200" verticalDpi="1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4"/>
  <sheetViews>
    <sheetView workbookViewId="0">
      <selection activeCell="G13" sqref="G13"/>
    </sheetView>
  </sheetViews>
  <sheetFormatPr defaultColWidth="9.140625" defaultRowHeight="23.25" x14ac:dyDescent="0.35"/>
  <cols>
    <col min="1" max="1" width="12" style="25" customWidth="1"/>
    <col min="2" max="2" width="10.28515625" style="25" customWidth="1"/>
    <col min="3" max="16384" width="9.140625" style="25"/>
  </cols>
  <sheetData>
    <row r="1" spans="1:5" x14ac:dyDescent="0.35">
      <c r="A1" s="357" t="s">
        <v>52</v>
      </c>
      <c r="B1" s="357"/>
      <c r="C1" s="357"/>
      <c r="D1" s="357"/>
      <c r="E1" s="357"/>
    </row>
    <row r="2" spans="1:5" x14ac:dyDescent="0.35">
      <c r="A2" s="25" t="s">
        <v>41</v>
      </c>
    </row>
    <row r="3" spans="1:5" x14ac:dyDescent="0.35">
      <c r="A3" s="25" t="s">
        <v>43</v>
      </c>
      <c r="B3" s="25" t="s">
        <v>42</v>
      </c>
      <c r="D3" s="25" t="s">
        <v>46</v>
      </c>
    </row>
    <row r="4" spans="1:5" x14ac:dyDescent="0.35">
      <c r="A4" s="25">
        <v>4.78</v>
      </c>
      <c r="B4" s="29"/>
      <c r="D4" s="28">
        <f>SUM(A4*B4)</f>
        <v>0</v>
      </c>
    </row>
    <row r="6" spans="1:5" x14ac:dyDescent="0.35">
      <c r="A6" s="25" t="s">
        <v>13</v>
      </c>
    </row>
    <row r="7" spans="1:5" x14ac:dyDescent="0.35">
      <c r="A7" s="25" t="s">
        <v>44</v>
      </c>
      <c r="B7" s="25" t="s">
        <v>42</v>
      </c>
      <c r="D7" s="25" t="s">
        <v>46</v>
      </c>
    </row>
    <row r="8" spans="1:5" x14ac:dyDescent="0.35">
      <c r="A8" s="25">
        <v>3.13</v>
      </c>
      <c r="B8" s="29"/>
      <c r="D8" s="28">
        <f>SUM(A8*B8)</f>
        <v>0</v>
      </c>
    </row>
    <row r="10" spans="1:5" x14ac:dyDescent="0.35">
      <c r="A10" s="25" t="s">
        <v>39</v>
      </c>
      <c r="D10" s="25" t="s">
        <v>46</v>
      </c>
    </row>
    <row r="11" spans="1:5" x14ac:dyDescent="0.35">
      <c r="A11" s="25" t="s">
        <v>44</v>
      </c>
      <c r="B11" s="25" t="s">
        <v>45</v>
      </c>
      <c r="C11" s="25" t="s">
        <v>1</v>
      </c>
    </row>
    <row r="12" spans="1:5" x14ac:dyDescent="0.35">
      <c r="A12" s="25">
        <v>0.88100000000000001</v>
      </c>
      <c r="B12" s="29"/>
      <c r="C12" s="29"/>
      <c r="D12" s="28">
        <f>SUM(A12*B12)*C12</f>
        <v>0</v>
      </c>
    </row>
    <row r="14" spans="1:5" x14ac:dyDescent="0.35">
      <c r="A14" s="25" t="s">
        <v>47</v>
      </c>
      <c r="D14" s="25" t="s">
        <v>46</v>
      </c>
    </row>
    <row r="15" spans="1:5" x14ac:dyDescent="0.35">
      <c r="A15" s="25" t="s">
        <v>44</v>
      </c>
      <c r="B15" s="25" t="s">
        <v>42</v>
      </c>
    </row>
    <row r="16" spans="1:5" x14ac:dyDescent="0.35">
      <c r="A16" s="25">
        <v>1.88</v>
      </c>
      <c r="B16" s="29"/>
      <c r="D16" s="28">
        <f>SUM(A16*B16)</f>
        <v>0</v>
      </c>
    </row>
    <row r="18" spans="1:5" x14ac:dyDescent="0.35">
      <c r="A18" s="25" t="s">
        <v>48</v>
      </c>
      <c r="D18" s="25" t="s">
        <v>46</v>
      </c>
    </row>
    <row r="19" spans="1:5" x14ac:dyDescent="0.35">
      <c r="A19" s="25" t="s">
        <v>49</v>
      </c>
      <c r="B19" s="25" t="s">
        <v>42</v>
      </c>
    </row>
    <row r="20" spans="1:5" x14ac:dyDescent="0.35">
      <c r="A20" s="25">
        <v>2.82</v>
      </c>
      <c r="B20" s="29"/>
      <c r="D20" s="28">
        <f>SUM(A20*B20)</f>
        <v>0</v>
      </c>
    </row>
    <row r="23" spans="1:5" x14ac:dyDescent="0.35">
      <c r="B23" s="25" t="s">
        <v>50</v>
      </c>
      <c r="D23" s="25">
        <f>SUM(D4+D8+D12+D16+D20)</f>
        <v>0</v>
      </c>
      <c r="E23" s="25" t="s">
        <v>53</v>
      </c>
    </row>
    <row r="24" spans="1:5" x14ac:dyDescent="0.35">
      <c r="A24" s="25" t="s">
        <v>51</v>
      </c>
      <c r="D24" s="25">
        <f>SUM(D23+10)</f>
        <v>10</v>
      </c>
      <c r="E24" s="25" t="s">
        <v>53</v>
      </c>
    </row>
  </sheetData>
  <sheetProtection algorithmName="SHA-512" hashValue="FzyP4aW3UN3p3jYTCF5ZJjxB/6B61pYvNxYJVU7ZgPdjDpXpo53aPEQyPoYGHCMcqD+FNtG0C/jb24Ns+FWNbg==" saltValue="GKTxgTac0tuI4MvgUGGHag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topLeftCell="A6" workbookViewId="0">
      <selection activeCell="J21" sqref="J21"/>
    </sheetView>
  </sheetViews>
  <sheetFormatPr defaultColWidth="9.140625" defaultRowHeight="21" x14ac:dyDescent="0.35"/>
  <cols>
    <col min="1" max="1" width="10.5703125" style="1" customWidth="1"/>
    <col min="2" max="2" width="13" style="1" customWidth="1"/>
    <col min="3" max="3" width="15.42578125" style="1" customWidth="1"/>
    <col min="4" max="4" width="24.7109375" style="1" customWidth="1"/>
    <col min="5" max="5" width="9.85546875" style="1" customWidth="1"/>
    <col min="6" max="6" width="7.85546875" style="1" customWidth="1"/>
    <col min="7" max="7" width="13.28515625" style="1" hidden="1" customWidth="1"/>
    <col min="8" max="8" width="5.85546875" style="1" hidden="1" customWidth="1"/>
    <col min="9" max="9" width="10.140625" style="1" customWidth="1"/>
    <col min="10" max="10" width="10.85546875" style="1" customWidth="1"/>
    <col min="11" max="11" width="12.7109375" style="1" customWidth="1"/>
    <col min="12" max="12" width="10.85546875" style="1" customWidth="1"/>
    <col min="13" max="13" width="26.42578125" style="1" customWidth="1"/>
    <col min="14" max="14" width="10.85546875" style="1" customWidth="1"/>
    <col min="15" max="15" width="17.140625" style="1" customWidth="1"/>
    <col min="16" max="16" width="17.5703125" style="1" customWidth="1"/>
    <col min="17" max="16384" width="9.140625" style="1"/>
  </cols>
  <sheetData>
    <row r="1" spans="1:16" ht="21.75" thickBot="1" x14ac:dyDescent="0.4">
      <c r="A1" s="7" t="s">
        <v>15</v>
      </c>
      <c r="B1" s="8"/>
      <c r="C1" s="8"/>
      <c r="D1" s="8"/>
      <c r="E1" s="9"/>
      <c r="H1" s="20"/>
      <c r="J1" s="7" t="s">
        <v>16</v>
      </c>
      <c r="K1" s="8"/>
      <c r="L1" s="8"/>
      <c r="M1" s="53"/>
      <c r="N1" s="8"/>
      <c r="O1" s="49"/>
    </row>
    <row r="2" spans="1:16" ht="21.75" thickBot="1" x14ac:dyDescent="0.4">
      <c r="A2" s="33" t="s">
        <v>63</v>
      </c>
      <c r="D2" s="57" t="s">
        <v>13</v>
      </c>
      <c r="E2" s="62"/>
      <c r="J2" s="254" t="s">
        <v>64</v>
      </c>
      <c r="K2" s="255"/>
      <c r="L2" s="256"/>
      <c r="M2" s="55" t="s">
        <v>13</v>
      </c>
      <c r="N2" s="1">
        <v>125</v>
      </c>
      <c r="O2" s="49"/>
    </row>
    <row r="3" spans="1:16" ht="21.75" thickBot="1" x14ac:dyDescent="0.4">
      <c r="A3" s="16" t="s">
        <v>9</v>
      </c>
      <c r="B3" s="17" t="s">
        <v>10</v>
      </c>
      <c r="C3" s="17" t="s">
        <v>11</v>
      </c>
      <c r="D3" s="17" t="s">
        <v>12</v>
      </c>
      <c r="E3" s="18" t="s">
        <v>20</v>
      </c>
      <c r="I3" s="23" t="s">
        <v>36</v>
      </c>
      <c r="J3" s="3" t="s">
        <v>9</v>
      </c>
      <c r="K3" s="8" t="s">
        <v>10</v>
      </c>
      <c r="L3" s="8" t="s">
        <v>11</v>
      </c>
      <c r="M3" s="8" t="s">
        <v>17</v>
      </c>
      <c r="N3" s="8" t="s">
        <v>20</v>
      </c>
      <c r="O3" s="49"/>
    </row>
    <row r="4" spans="1:16" x14ac:dyDescent="0.35">
      <c r="A4" s="102"/>
      <c r="B4" s="191"/>
      <c r="C4" s="189">
        <f>SUM(B4/2-60)</f>
        <v>-60</v>
      </c>
      <c r="D4" s="189">
        <f>SUM(C4-130)</f>
        <v>-190</v>
      </c>
      <c r="E4" s="12">
        <f>IF(B4&gt;0,2,0)</f>
        <v>0</v>
      </c>
      <c r="I4" s="95"/>
      <c r="J4" s="103"/>
      <c r="K4" s="193"/>
      <c r="L4" s="194">
        <f t="shared" ref="L4:L14" si="0">SUM(K4-70)</f>
        <v>-70</v>
      </c>
      <c r="M4" s="194">
        <f t="shared" ref="M4:M14" si="1">SUM(L4-130)</f>
        <v>-200</v>
      </c>
      <c r="N4" s="31">
        <f t="shared" ref="N4:N14" si="2">IF(K4&gt;0,1,0)</f>
        <v>0</v>
      </c>
      <c r="O4" s="49"/>
    </row>
    <row r="5" spans="1:16" x14ac:dyDescent="0.35">
      <c r="A5" s="102"/>
      <c r="B5" s="191"/>
      <c r="C5" s="189">
        <f>SUM(B5/2)-60</f>
        <v>-60</v>
      </c>
      <c r="D5" s="189">
        <f>SUM(C5-130)</f>
        <v>-190</v>
      </c>
      <c r="E5" s="12">
        <f t="shared" ref="E5:E18" si="3">IF(B5&gt;0,2,0)</f>
        <v>0</v>
      </c>
      <c r="I5" s="95"/>
      <c r="J5" s="103"/>
      <c r="K5" s="191"/>
      <c r="L5" s="189">
        <f t="shared" si="0"/>
        <v>-70</v>
      </c>
      <c r="M5" s="189">
        <f t="shared" si="1"/>
        <v>-200</v>
      </c>
      <c r="N5" s="50">
        <f t="shared" si="2"/>
        <v>0</v>
      </c>
      <c r="O5" s="49"/>
    </row>
    <row r="6" spans="1:16" x14ac:dyDescent="0.35">
      <c r="A6" s="102"/>
      <c r="B6" s="191"/>
      <c r="C6" s="189">
        <f t="shared" ref="C6:C14" si="4">SUM(B6/2)-60</f>
        <v>-60</v>
      </c>
      <c r="D6" s="189">
        <f>SUM(C6-130)</f>
        <v>-190</v>
      </c>
      <c r="E6" s="12">
        <f t="shared" si="3"/>
        <v>0</v>
      </c>
      <c r="I6" s="95"/>
      <c r="J6" s="103"/>
      <c r="K6" s="191"/>
      <c r="L6" s="189">
        <f t="shared" si="0"/>
        <v>-70</v>
      </c>
      <c r="M6" s="189">
        <f t="shared" si="1"/>
        <v>-200</v>
      </c>
      <c r="N6" s="50">
        <f t="shared" si="2"/>
        <v>0</v>
      </c>
      <c r="O6" s="49"/>
    </row>
    <row r="7" spans="1:16" x14ac:dyDescent="0.35">
      <c r="A7" s="102"/>
      <c r="B7" s="191"/>
      <c r="C7" s="189">
        <f t="shared" si="4"/>
        <v>-60</v>
      </c>
      <c r="D7" s="189">
        <f t="shared" ref="D7:D18" si="5">SUM(C7-130)</f>
        <v>-190</v>
      </c>
      <c r="E7" s="12">
        <f t="shared" si="3"/>
        <v>0</v>
      </c>
      <c r="I7" s="95"/>
      <c r="J7" s="103"/>
      <c r="K7" s="191"/>
      <c r="L7" s="189">
        <f t="shared" si="0"/>
        <v>-70</v>
      </c>
      <c r="M7" s="189">
        <f t="shared" si="1"/>
        <v>-200</v>
      </c>
      <c r="N7" s="50">
        <f t="shared" si="2"/>
        <v>0</v>
      </c>
      <c r="O7" s="49"/>
    </row>
    <row r="8" spans="1:16" x14ac:dyDescent="0.35">
      <c r="A8" s="102"/>
      <c r="B8" s="191"/>
      <c r="C8" s="189">
        <f t="shared" si="4"/>
        <v>-60</v>
      </c>
      <c r="D8" s="189">
        <f t="shared" si="5"/>
        <v>-190</v>
      </c>
      <c r="E8" s="12">
        <f t="shared" si="3"/>
        <v>0</v>
      </c>
      <c r="I8" s="95"/>
      <c r="J8" s="103"/>
      <c r="K8" s="191"/>
      <c r="L8" s="189">
        <f t="shared" si="0"/>
        <v>-70</v>
      </c>
      <c r="M8" s="189">
        <f t="shared" si="1"/>
        <v>-200</v>
      </c>
      <c r="N8" s="50">
        <f t="shared" si="2"/>
        <v>0</v>
      </c>
      <c r="O8" s="49"/>
    </row>
    <row r="9" spans="1:16" x14ac:dyDescent="0.35">
      <c r="A9" s="102"/>
      <c r="B9" s="191"/>
      <c r="C9" s="189">
        <f t="shared" si="4"/>
        <v>-60</v>
      </c>
      <c r="D9" s="189">
        <f t="shared" si="5"/>
        <v>-190</v>
      </c>
      <c r="E9" s="12">
        <f t="shared" si="3"/>
        <v>0</v>
      </c>
      <c r="I9" s="95"/>
      <c r="J9" s="103"/>
      <c r="K9" s="191"/>
      <c r="L9" s="189">
        <f t="shared" si="0"/>
        <v>-70</v>
      </c>
      <c r="M9" s="189">
        <f t="shared" si="1"/>
        <v>-200</v>
      </c>
      <c r="N9" s="50">
        <f t="shared" si="2"/>
        <v>0</v>
      </c>
      <c r="O9" s="49"/>
    </row>
    <row r="10" spans="1:16" x14ac:dyDescent="0.35">
      <c r="A10" s="102"/>
      <c r="B10" s="191"/>
      <c r="C10" s="189">
        <f t="shared" si="4"/>
        <v>-60</v>
      </c>
      <c r="D10" s="189">
        <f t="shared" si="5"/>
        <v>-190</v>
      </c>
      <c r="E10" s="12">
        <f t="shared" si="3"/>
        <v>0</v>
      </c>
      <c r="I10" s="95"/>
      <c r="J10" s="103"/>
      <c r="K10" s="191"/>
      <c r="L10" s="189">
        <f t="shared" si="0"/>
        <v>-70</v>
      </c>
      <c r="M10" s="189">
        <f t="shared" si="1"/>
        <v>-200</v>
      </c>
      <c r="N10" s="50">
        <f t="shared" si="2"/>
        <v>0</v>
      </c>
      <c r="O10" s="49"/>
    </row>
    <row r="11" spans="1:16" x14ac:dyDescent="0.35">
      <c r="A11" s="102"/>
      <c r="B11" s="191"/>
      <c r="C11" s="189">
        <f t="shared" si="4"/>
        <v>-60</v>
      </c>
      <c r="D11" s="189">
        <f t="shared" si="5"/>
        <v>-190</v>
      </c>
      <c r="E11" s="12">
        <f t="shared" si="3"/>
        <v>0</v>
      </c>
      <c r="I11" s="95"/>
      <c r="J11" s="103"/>
      <c r="K11" s="191"/>
      <c r="L11" s="189">
        <f t="shared" si="0"/>
        <v>-70</v>
      </c>
      <c r="M11" s="189">
        <f t="shared" si="1"/>
        <v>-200</v>
      </c>
      <c r="N11" s="50">
        <f t="shared" si="2"/>
        <v>0</v>
      </c>
      <c r="O11" s="49"/>
    </row>
    <row r="12" spans="1:16" x14ac:dyDescent="0.35">
      <c r="A12" s="102"/>
      <c r="B12" s="191"/>
      <c r="C12" s="189">
        <f t="shared" si="4"/>
        <v>-60</v>
      </c>
      <c r="D12" s="189">
        <f t="shared" si="5"/>
        <v>-190</v>
      </c>
      <c r="E12" s="12">
        <f t="shared" si="3"/>
        <v>0</v>
      </c>
      <c r="I12" s="95"/>
      <c r="J12" s="103"/>
      <c r="K12" s="191"/>
      <c r="L12" s="189">
        <f t="shared" si="0"/>
        <v>-70</v>
      </c>
      <c r="M12" s="189">
        <f t="shared" si="1"/>
        <v>-200</v>
      </c>
      <c r="N12" s="50">
        <f t="shared" si="2"/>
        <v>0</v>
      </c>
      <c r="O12" s="49"/>
    </row>
    <row r="13" spans="1:16" x14ac:dyDescent="0.35">
      <c r="A13" s="102"/>
      <c r="B13" s="191"/>
      <c r="C13" s="189">
        <f t="shared" si="4"/>
        <v>-60</v>
      </c>
      <c r="D13" s="189">
        <f t="shared" si="5"/>
        <v>-190</v>
      </c>
      <c r="E13" s="12">
        <f t="shared" si="3"/>
        <v>0</v>
      </c>
      <c r="I13" s="95"/>
      <c r="J13" s="103"/>
      <c r="K13" s="191"/>
      <c r="L13" s="189">
        <f t="shared" si="0"/>
        <v>-70</v>
      </c>
      <c r="M13" s="189">
        <f t="shared" si="1"/>
        <v>-200</v>
      </c>
      <c r="N13" s="50">
        <f t="shared" si="2"/>
        <v>0</v>
      </c>
      <c r="O13" s="49"/>
    </row>
    <row r="14" spans="1:16" ht="21.75" thickBot="1" x14ac:dyDescent="0.4">
      <c r="A14" s="104"/>
      <c r="B14" s="192"/>
      <c r="C14" s="190">
        <f t="shared" si="4"/>
        <v>-60</v>
      </c>
      <c r="D14" s="190">
        <f t="shared" si="5"/>
        <v>-190</v>
      </c>
      <c r="E14" s="63">
        <f t="shared" si="3"/>
        <v>0</v>
      </c>
      <c r="I14" s="95"/>
      <c r="J14" s="105"/>
      <c r="K14" s="192"/>
      <c r="L14" s="190">
        <f t="shared" si="0"/>
        <v>-70</v>
      </c>
      <c r="M14" s="190">
        <f t="shared" si="1"/>
        <v>-200</v>
      </c>
      <c r="N14" s="65">
        <f t="shared" si="2"/>
        <v>0</v>
      </c>
      <c r="O14" s="49"/>
    </row>
    <row r="15" spans="1:16" ht="21.75" thickBot="1" x14ac:dyDescent="0.4">
      <c r="A15" s="251" t="s">
        <v>336</v>
      </c>
      <c r="B15" s="252"/>
      <c r="C15" s="252"/>
      <c r="D15" s="252"/>
      <c r="E15" s="253"/>
      <c r="F15" s="52"/>
      <c r="G15" s="52"/>
      <c r="I15" s="251" t="s">
        <v>335</v>
      </c>
      <c r="J15" s="252"/>
      <c r="K15" s="252"/>
      <c r="L15" s="252"/>
      <c r="M15" s="252"/>
      <c r="N15" s="253"/>
      <c r="O15" s="52"/>
      <c r="P15" s="52"/>
    </row>
    <row r="16" spans="1:16" x14ac:dyDescent="0.35">
      <c r="A16" s="106"/>
      <c r="B16" s="193"/>
      <c r="C16" s="194">
        <f>SUM(B16/2)+72.5</f>
        <v>72.5</v>
      </c>
      <c r="D16" s="194">
        <f t="shared" si="5"/>
        <v>-57.5</v>
      </c>
      <c r="E16" s="64">
        <f t="shared" si="3"/>
        <v>0</v>
      </c>
      <c r="I16" s="95"/>
      <c r="J16" s="107"/>
      <c r="K16" s="193"/>
      <c r="L16" s="194">
        <f>SUM(K16+62.5)</f>
        <v>62.5</v>
      </c>
      <c r="M16" s="194">
        <f>SUM(L16-130)</f>
        <v>-67.5</v>
      </c>
      <c r="N16" s="31"/>
      <c r="O16" s="49"/>
    </row>
    <row r="17" spans="1:15" x14ac:dyDescent="0.35">
      <c r="A17" s="102"/>
      <c r="B17" s="191"/>
      <c r="C17" s="189">
        <f>SUM(B17/2)+72.5</f>
        <v>72.5</v>
      </c>
      <c r="D17" s="189">
        <f t="shared" si="5"/>
        <v>-57.5</v>
      </c>
      <c r="E17" s="12">
        <f t="shared" si="3"/>
        <v>0</v>
      </c>
      <c r="I17" s="95"/>
      <c r="J17" s="103"/>
      <c r="K17" s="191"/>
      <c r="L17" s="189">
        <f>SUM(K17+62.5)</f>
        <v>62.5</v>
      </c>
      <c r="M17" s="189">
        <f>SUM(L17-130)</f>
        <v>-67.5</v>
      </c>
      <c r="N17" s="50">
        <f>IF(K17&gt;0,1,0)</f>
        <v>0</v>
      </c>
      <c r="O17" s="49"/>
    </row>
    <row r="18" spans="1:15" ht="21.75" thickBot="1" x14ac:dyDescent="0.4">
      <c r="A18" s="108"/>
      <c r="B18" s="195"/>
      <c r="C18" s="196">
        <f>SUM(B18/2)+72.5</f>
        <v>72.5</v>
      </c>
      <c r="D18" s="196">
        <f t="shared" si="5"/>
        <v>-57.5</v>
      </c>
      <c r="E18" s="15">
        <f t="shared" si="3"/>
        <v>0</v>
      </c>
      <c r="I18" s="95"/>
      <c r="J18" s="109"/>
      <c r="K18" s="195"/>
      <c r="L18" s="196">
        <f>SUM(K18+62.5)</f>
        <v>62.5</v>
      </c>
      <c r="M18" s="196">
        <f>SUM(L18-130)</f>
        <v>-67.5</v>
      </c>
      <c r="N18" s="51">
        <f>IF(K18&gt;0,1,0)</f>
        <v>0</v>
      </c>
      <c r="O18" s="49"/>
    </row>
    <row r="19" spans="1:15" ht="21.75" thickBot="1" x14ac:dyDescent="0.4">
      <c r="D19" s="7" t="s">
        <v>19</v>
      </c>
      <c r="E19" s="9">
        <f>SUM(E4:E18)</f>
        <v>0</v>
      </c>
      <c r="M19" s="7" t="s">
        <v>19</v>
      </c>
      <c r="N19" s="9">
        <f>SUM(N4:N18)</f>
        <v>0</v>
      </c>
    </row>
    <row r="20" spans="1:15" ht="21.75" thickBot="1" x14ac:dyDescent="0.4">
      <c r="A20" s="257" t="s">
        <v>8</v>
      </c>
      <c r="B20" s="258"/>
      <c r="C20" s="259"/>
    </row>
    <row r="21" spans="1:15" ht="21.75" thickBot="1" x14ac:dyDescent="0.4">
      <c r="A21" s="260"/>
      <c r="B21" s="260"/>
      <c r="C21" s="260"/>
    </row>
    <row r="22" spans="1:15" x14ac:dyDescent="0.35">
      <c r="A22" s="266" t="s">
        <v>0</v>
      </c>
      <c r="B22" s="267"/>
      <c r="C22" s="2" t="s">
        <v>1</v>
      </c>
      <c r="D22" s="2" t="s">
        <v>2</v>
      </c>
      <c r="J22" s="37" t="s">
        <v>119</v>
      </c>
      <c r="K22" s="39"/>
      <c r="L22" s="39"/>
      <c r="M22" s="39"/>
      <c r="N22" s="38"/>
    </row>
    <row r="23" spans="1:15" ht="21.75" thickBot="1" x14ac:dyDescent="0.4">
      <c r="A23" s="268" t="s">
        <v>4</v>
      </c>
      <c r="B23" s="268"/>
      <c r="C23" s="2">
        <f>SUM(E19/2)</f>
        <v>0</v>
      </c>
      <c r="D23" s="2">
        <f>SUM(C23)</f>
        <v>0</v>
      </c>
      <c r="J23" s="261" t="s">
        <v>227</v>
      </c>
      <c r="K23" s="262"/>
      <c r="L23" s="263"/>
      <c r="M23" s="2" t="s">
        <v>14</v>
      </c>
      <c r="N23" s="12"/>
    </row>
    <row r="24" spans="1:15" x14ac:dyDescent="0.35">
      <c r="A24" s="268" t="s">
        <v>3</v>
      </c>
      <c r="B24" s="268"/>
      <c r="C24" s="2">
        <f>SUM(N19)</f>
        <v>0</v>
      </c>
      <c r="D24" s="2">
        <f>SUM(C24)</f>
        <v>0</v>
      </c>
      <c r="I24" s="23" t="s">
        <v>36</v>
      </c>
      <c r="J24" s="11" t="s">
        <v>228</v>
      </c>
      <c r="K24" s="2" t="s">
        <v>10</v>
      </c>
      <c r="L24" s="2" t="s">
        <v>11</v>
      </c>
      <c r="M24" s="2" t="s">
        <v>17</v>
      </c>
      <c r="N24" s="12" t="s">
        <v>18</v>
      </c>
    </row>
    <row r="25" spans="1:15" x14ac:dyDescent="0.35">
      <c r="A25" s="268" t="s">
        <v>5</v>
      </c>
      <c r="B25" s="268"/>
      <c r="C25" s="264"/>
      <c r="D25" s="2">
        <f>SUM(C23*2+C24)</f>
        <v>0</v>
      </c>
      <c r="I25" s="95"/>
      <c r="J25" s="95" t="s">
        <v>229</v>
      </c>
      <c r="K25" s="191">
        <v>1000</v>
      </c>
      <c r="L25" s="189" cm="1">
        <f t="array" ref="L25">_xlfn.IFS(J25="MAG",K25-40,J25="MORTIC",K25-30)</f>
        <v>970</v>
      </c>
      <c r="M25" s="189">
        <f>SUM(L25-130)</f>
        <v>840</v>
      </c>
      <c r="N25" s="12">
        <f t="shared" ref="N25:N26" si="6">IF(K25&gt;0,1,0)</f>
        <v>1</v>
      </c>
    </row>
    <row r="26" spans="1:15" ht="21.75" thickBot="1" x14ac:dyDescent="0.4">
      <c r="A26" s="268" t="s">
        <v>6</v>
      </c>
      <c r="B26" s="268"/>
      <c r="C26" s="265"/>
      <c r="D26" s="2">
        <f>SUM(C23*2+C24)</f>
        <v>0</v>
      </c>
      <c r="I26" s="95"/>
      <c r="J26" s="95" t="s">
        <v>230</v>
      </c>
      <c r="K26" s="195">
        <v>1000</v>
      </c>
      <c r="L26" s="189" cm="1">
        <f t="array" ref="L26">_xlfn.IFS(J26="MAG",K26-40,J26="MORTIC",K26-30)</f>
        <v>960</v>
      </c>
      <c r="M26" s="196">
        <f>SUM(L26-130)</f>
        <v>830</v>
      </c>
      <c r="N26" s="15">
        <f t="shared" si="6"/>
        <v>1</v>
      </c>
    </row>
    <row r="27" spans="1:15" x14ac:dyDescent="0.35">
      <c r="A27" s="268" t="s">
        <v>22</v>
      </c>
      <c r="B27" s="268"/>
      <c r="C27" s="265"/>
      <c r="D27" s="2">
        <f>SUM(C23*6)+(C24*3)</f>
        <v>0</v>
      </c>
    </row>
    <row r="28" spans="1:15" x14ac:dyDescent="0.35">
      <c r="A28" s="268" t="s">
        <v>21</v>
      </c>
      <c r="B28" s="268"/>
      <c r="C28" s="265"/>
      <c r="D28" s="2">
        <f>SUM(C23*14)+(C24*7)</f>
        <v>0</v>
      </c>
    </row>
    <row r="29" spans="1:15" x14ac:dyDescent="0.35">
      <c r="A29" s="269" t="s">
        <v>126</v>
      </c>
      <c r="B29" s="268"/>
      <c r="C29" s="265"/>
      <c r="D29" s="2">
        <f>SUM(C23*2+C24)</f>
        <v>0</v>
      </c>
    </row>
    <row r="30" spans="1:15" x14ac:dyDescent="0.35">
      <c r="A30" s="268" t="s">
        <v>7</v>
      </c>
      <c r="B30" s="268"/>
      <c r="C30" s="265"/>
      <c r="D30" s="2">
        <f>SUM(C23*2+C24)</f>
        <v>0</v>
      </c>
    </row>
  </sheetData>
  <sheetProtection formatCells="0" formatColumns="0"/>
  <mergeCells count="16">
    <mergeCell ref="J23:L23"/>
    <mergeCell ref="C25:C30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I15:N15"/>
    <mergeCell ref="A15:E15"/>
    <mergeCell ref="J2:L2"/>
    <mergeCell ref="A20:C20"/>
    <mergeCell ref="A21:C21"/>
  </mergeCells>
  <dataValidations count="2">
    <dataValidation type="list" allowBlank="1" showInputMessage="1" showErrorMessage="1" sqref="J25:J26" xr:uid="{ED9E48A2-205D-478B-BF3A-27174E997241}">
      <formula1>"MAG,MORTIC"</formula1>
    </dataValidation>
    <dataValidation type="list" allowBlank="1" showInputMessage="1" showErrorMessage="1" sqref="I4:I14 I16:I18 I25:I26" xr:uid="{D684D439-AE79-45D8-AA2A-F590E5B8633A}">
      <formula1>"LEFT,RIGHT"</formula1>
    </dataValidation>
  </dataValidations>
  <pageMargins left="0.25" right="0.25" top="0.75" bottom="0.75" header="0.3" footer="0.3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81816-28DC-4B5A-AA96-98F7E0045D80}">
  <dimension ref="A1:Q19"/>
  <sheetViews>
    <sheetView workbookViewId="0">
      <selection activeCell="K19" sqref="K19"/>
    </sheetView>
  </sheetViews>
  <sheetFormatPr defaultRowHeight="15" x14ac:dyDescent="0.25"/>
  <cols>
    <col min="1" max="1" width="11" customWidth="1"/>
    <col min="2" max="2" width="13.7109375" customWidth="1"/>
    <col min="3" max="3" width="12.42578125" customWidth="1"/>
    <col min="4" max="4" width="17.28515625" customWidth="1"/>
    <col min="5" max="5" width="16.85546875" customWidth="1"/>
    <col min="6" max="6" width="3" customWidth="1"/>
    <col min="7" max="7" width="13.140625" customWidth="1"/>
    <col min="8" max="8" width="9.85546875" customWidth="1"/>
    <col min="9" max="9" width="13.7109375" customWidth="1"/>
    <col min="10" max="10" width="12" customWidth="1"/>
    <col min="11" max="11" width="23.85546875" customWidth="1"/>
    <col min="12" max="12" width="22.42578125" customWidth="1"/>
  </cols>
  <sheetData>
    <row r="1" spans="1:12" ht="21.75" thickBot="1" x14ac:dyDescent="0.4">
      <c r="A1" s="2" t="s">
        <v>131</v>
      </c>
      <c r="B1" s="201"/>
      <c r="C1" s="2" t="s">
        <v>35</v>
      </c>
      <c r="D1" s="207"/>
      <c r="E1" s="9" t="s">
        <v>247</v>
      </c>
      <c r="F1" s="20"/>
      <c r="G1" s="1"/>
      <c r="H1" s="2" t="s">
        <v>81</v>
      </c>
      <c r="I1" s="201"/>
      <c r="J1" s="2" t="s">
        <v>35</v>
      </c>
      <c r="K1" s="207"/>
      <c r="L1" s="1" t="s">
        <v>248</v>
      </c>
    </row>
    <row r="2" spans="1:12" ht="21.75" thickBot="1" x14ac:dyDescent="0.4">
      <c r="A2" s="69" t="s">
        <v>63</v>
      </c>
      <c r="B2" s="70"/>
      <c r="C2" s="70"/>
      <c r="D2" s="71" t="s">
        <v>132</v>
      </c>
      <c r="E2" s="148" t="s">
        <v>249</v>
      </c>
      <c r="F2" s="1"/>
      <c r="G2" s="1"/>
      <c r="H2" s="270" t="s">
        <v>64</v>
      </c>
      <c r="I2" s="271"/>
      <c r="J2" s="272"/>
      <c r="K2" s="146" t="s">
        <v>132</v>
      </c>
      <c r="L2" s="150" t="s">
        <v>249</v>
      </c>
    </row>
    <row r="3" spans="1:12" ht="21.75" thickBot="1" x14ac:dyDescent="0.4">
      <c r="A3" s="16" t="s">
        <v>9</v>
      </c>
      <c r="B3" s="17" t="s">
        <v>10</v>
      </c>
      <c r="C3" s="17" t="s">
        <v>11</v>
      </c>
      <c r="D3" s="17" t="s">
        <v>12</v>
      </c>
      <c r="E3" s="18" t="s">
        <v>55</v>
      </c>
      <c r="F3" s="1"/>
      <c r="G3" s="58" t="s">
        <v>36</v>
      </c>
      <c r="H3" s="59" t="s">
        <v>9</v>
      </c>
      <c r="I3" s="59" t="s">
        <v>10</v>
      </c>
      <c r="J3" s="59" t="s">
        <v>11</v>
      </c>
      <c r="K3" s="147" t="s">
        <v>17</v>
      </c>
      <c r="L3" s="149" t="s">
        <v>55</v>
      </c>
    </row>
    <row r="4" spans="1:12" ht="21" x14ac:dyDescent="0.35">
      <c r="A4" s="102"/>
      <c r="B4" s="191"/>
      <c r="C4" s="189">
        <f>SUM(B4/2-35)</f>
        <v>-35</v>
      </c>
      <c r="D4" s="189">
        <f>SUM(C4-130)</f>
        <v>-165</v>
      </c>
      <c r="E4" s="60">
        <f>SUM(D4/140)</f>
        <v>-1.1785714285714286</v>
      </c>
      <c r="F4" s="1"/>
      <c r="G4" s="87" t="s">
        <v>209</v>
      </c>
      <c r="H4" s="107"/>
      <c r="I4" s="193"/>
      <c r="J4" s="194">
        <f>SUM(I4-40)</f>
        <v>-40</v>
      </c>
      <c r="K4" s="194">
        <f t="shared" ref="K4:K14" si="0">SUM(J4-130)</f>
        <v>-170</v>
      </c>
      <c r="L4" s="61">
        <f>SUM(K4/140)</f>
        <v>-1.2142857142857142</v>
      </c>
    </row>
    <row r="5" spans="1:12" ht="21" x14ac:dyDescent="0.35">
      <c r="A5" s="102"/>
      <c r="B5" s="191"/>
      <c r="C5" s="189">
        <f t="shared" ref="C5:C14" si="1">SUM(B5/2-35)</f>
        <v>-35</v>
      </c>
      <c r="D5" s="189">
        <f>SUM(C5-130)</f>
        <v>-165</v>
      </c>
      <c r="E5" s="60">
        <f t="shared" ref="E5:E14" si="2">SUM(D5/140)</f>
        <v>-1.1785714285714286</v>
      </c>
      <c r="F5" s="1"/>
      <c r="G5" s="87" t="s">
        <v>210</v>
      </c>
      <c r="H5" s="103"/>
      <c r="I5" s="191"/>
      <c r="J5" s="194">
        <f t="shared" ref="J5:J14" si="3">SUM(I5-40)</f>
        <v>-40</v>
      </c>
      <c r="K5" s="189">
        <f t="shared" si="0"/>
        <v>-170</v>
      </c>
      <c r="L5" s="61">
        <f t="shared" ref="L5:L14" si="4">SUM(K5/140)</f>
        <v>-1.2142857142857142</v>
      </c>
    </row>
    <row r="6" spans="1:12" ht="21" x14ac:dyDescent="0.35">
      <c r="A6" s="102"/>
      <c r="B6" s="191"/>
      <c r="C6" s="189">
        <f t="shared" si="1"/>
        <v>-35</v>
      </c>
      <c r="D6" s="189">
        <f>SUM(C6-130)</f>
        <v>-165</v>
      </c>
      <c r="E6" s="60">
        <f t="shared" si="2"/>
        <v>-1.1785714285714286</v>
      </c>
      <c r="F6" s="1"/>
      <c r="G6" s="87" t="s">
        <v>209</v>
      </c>
      <c r="H6" s="103"/>
      <c r="I6" s="191"/>
      <c r="J6" s="194">
        <f t="shared" si="3"/>
        <v>-40</v>
      </c>
      <c r="K6" s="189">
        <f t="shared" si="0"/>
        <v>-170</v>
      </c>
      <c r="L6" s="61">
        <f t="shared" si="4"/>
        <v>-1.2142857142857142</v>
      </c>
    </row>
    <row r="7" spans="1:12" ht="21" x14ac:dyDescent="0.35">
      <c r="A7" s="102"/>
      <c r="B7" s="191"/>
      <c r="C7" s="189">
        <f t="shared" si="1"/>
        <v>-35</v>
      </c>
      <c r="D7" s="189">
        <f t="shared" ref="D7:D14" si="5">SUM(C7-130)</f>
        <v>-165</v>
      </c>
      <c r="E7" s="60">
        <f t="shared" si="2"/>
        <v>-1.1785714285714286</v>
      </c>
      <c r="F7" s="1"/>
      <c r="G7" s="87" t="s">
        <v>209</v>
      </c>
      <c r="H7" s="103"/>
      <c r="I7" s="191"/>
      <c r="J7" s="194">
        <f t="shared" si="3"/>
        <v>-40</v>
      </c>
      <c r="K7" s="189">
        <f t="shared" si="0"/>
        <v>-170</v>
      </c>
      <c r="L7" s="61">
        <f t="shared" si="4"/>
        <v>-1.2142857142857142</v>
      </c>
    </row>
    <row r="8" spans="1:12" ht="21" x14ac:dyDescent="0.35">
      <c r="A8" s="102"/>
      <c r="B8" s="191"/>
      <c r="C8" s="189">
        <f t="shared" si="1"/>
        <v>-35</v>
      </c>
      <c r="D8" s="189">
        <f t="shared" si="5"/>
        <v>-165</v>
      </c>
      <c r="E8" s="60">
        <f t="shared" si="2"/>
        <v>-1.1785714285714286</v>
      </c>
      <c r="F8" s="1"/>
      <c r="G8" s="87" t="s">
        <v>209</v>
      </c>
      <c r="H8" s="103"/>
      <c r="I8" s="191"/>
      <c r="J8" s="194">
        <f t="shared" si="3"/>
        <v>-40</v>
      </c>
      <c r="K8" s="189">
        <f t="shared" si="0"/>
        <v>-170</v>
      </c>
      <c r="L8" s="61">
        <f t="shared" si="4"/>
        <v>-1.2142857142857142</v>
      </c>
    </row>
    <row r="9" spans="1:12" ht="21" x14ac:dyDescent="0.35">
      <c r="A9" s="102"/>
      <c r="B9" s="191"/>
      <c r="C9" s="189">
        <f t="shared" si="1"/>
        <v>-35</v>
      </c>
      <c r="D9" s="189">
        <f t="shared" si="5"/>
        <v>-165</v>
      </c>
      <c r="E9" s="60">
        <f t="shared" si="2"/>
        <v>-1.1785714285714286</v>
      </c>
      <c r="F9" s="1"/>
      <c r="G9" s="87" t="s">
        <v>209</v>
      </c>
      <c r="H9" s="103"/>
      <c r="I9" s="191"/>
      <c r="J9" s="194">
        <f t="shared" si="3"/>
        <v>-40</v>
      </c>
      <c r="K9" s="189">
        <f t="shared" si="0"/>
        <v>-170</v>
      </c>
      <c r="L9" s="61">
        <f t="shared" si="4"/>
        <v>-1.2142857142857142</v>
      </c>
    </row>
    <row r="10" spans="1:12" ht="21" x14ac:dyDescent="0.35">
      <c r="A10" s="102"/>
      <c r="B10" s="191"/>
      <c r="C10" s="189">
        <f t="shared" si="1"/>
        <v>-35</v>
      </c>
      <c r="D10" s="189">
        <f t="shared" si="5"/>
        <v>-165</v>
      </c>
      <c r="E10" s="60">
        <f t="shared" si="2"/>
        <v>-1.1785714285714286</v>
      </c>
      <c r="F10" s="1"/>
      <c r="G10" s="87" t="s">
        <v>209</v>
      </c>
      <c r="H10" s="103"/>
      <c r="I10" s="191"/>
      <c r="J10" s="194">
        <f t="shared" si="3"/>
        <v>-40</v>
      </c>
      <c r="K10" s="189">
        <f t="shared" si="0"/>
        <v>-170</v>
      </c>
      <c r="L10" s="61">
        <f t="shared" si="4"/>
        <v>-1.2142857142857142</v>
      </c>
    </row>
    <row r="11" spans="1:12" ht="21" x14ac:dyDescent="0.35">
      <c r="A11" s="102"/>
      <c r="B11" s="191"/>
      <c r="C11" s="189">
        <f t="shared" si="1"/>
        <v>-35</v>
      </c>
      <c r="D11" s="189">
        <f t="shared" si="5"/>
        <v>-165</v>
      </c>
      <c r="E11" s="60">
        <f t="shared" si="2"/>
        <v>-1.1785714285714286</v>
      </c>
      <c r="F11" s="1"/>
      <c r="G11" s="87" t="s">
        <v>209</v>
      </c>
      <c r="H11" s="103"/>
      <c r="I11" s="191"/>
      <c r="J11" s="194">
        <f t="shared" si="3"/>
        <v>-40</v>
      </c>
      <c r="K11" s="189">
        <f t="shared" si="0"/>
        <v>-170</v>
      </c>
      <c r="L11" s="61">
        <f t="shared" si="4"/>
        <v>-1.2142857142857142</v>
      </c>
    </row>
    <row r="12" spans="1:12" ht="21" x14ac:dyDescent="0.35">
      <c r="A12" s="102"/>
      <c r="B12" s="191"/>
      <c r="C12" s="189">
        <f t="shared" si="1"/>
        <v>-35</v>
      </c>
      <c r="D12" s="189">
        <f t="shared" si="5"/>
        <v>-165</v>
      </c>
      <c r="E12" s="60">
        <f t="shared" si="2"/>
        <v>-1.1785714285714286</v>
      </c>
      <c r="F12" s="1"/>
      <c r="G12" s="87" t="s">
        <v>209</v>
      </c>
      <c r="H12" s="103"/>
      <c r="I12" s="191"/>
      <c r="J12" s="194">
        <f t="shared" si="3"/>
        <v>-40</v>
      </c>
      <c r="K12" s="189">
        <f t="shared" si="0"/>
        <v>-170</v>
      </c>
      <c r="L12" s="61">
        <f t="shared" si="4"/>
        <v>-1.2142857142857142</v>
      </c>
    </row>
    <row r="13" spans="1:12" ht="21" x14ac:dyDescent="0.35">
      <c r="A13" s="102"/>
      <c r="B13" s="191"/>
      <c r="C13" s="189">
        <f t="shared" si="1"/>
        <v>-35</v>
      </c>
      <c r="D13" s="189">
        <f t="shared" si="5"/>
        <v>-165</v>
      </c>
      <c r="E13" s="60">
        <f t="shared" si="2"/>
        <v>-1.1785714285714286</v>
      </c>
      <c r="F13" s="1"/>
      <c r="G13" s="87" t="s">
        <v>209</v>
      </c>
      <c r="H13" s="103"/>
      <c r="I13" s="191"/>
      <c r="J13" s="194">
        <f t="shared" si="3"/>
        <v>-40</v>
      </c>
      <c r="K13" s="189">
        <f t="shared" si="0"/>
        <v>-170</v>
      </c>
      <c r="L13" s="61">
        <f t="shared" si="4"/>
        <v>-1.2142857142857142</v>
      </c>
    </row>
    <row r="14" spans="1:12" ht="21.75" thickBot="1" x14ac:dyDescent="0.4">
      <c r="A14" s="108"/>
      <c r="B14" s="195"/>
      <c r="C14" s="196">
        <f t="shared" si="1"/>
        <v>-35</v>
      </c>
      <c r="D14" s="196">
        <f t="shared" si="5"/>
        <v>-165</v>
      </c>
      <c r="E14" s="60">
        <f t="shared" si="2"/>
        <v>-1.1785714285714286</v>
      </c>
      <c r="F14" s="1"/>
      <c r="G14" s="87" t="s">
        <v>209</v>
      </c>
      <c r="H14" s="109"/>
      <c r="I14" s="195"/>
      <c r="J14" s="206">
        <f t="shared" si="3"/>
        <v>-40</v>
      </c>
      <c r="K14" s="196">
        <f t="shared" si="0"/>
        <v>-170</v>
      </c>
      <c r="L14" s="61">
        <f t="shared" si="4"/>
        <v>-1.2142857142857142</v>
      </c>
    </row>
    <row r="15" spans="1:12" ht="21" x14ac:dyDescent="0.35">
      <c r="A15" s="52"/>
      <c r="B15" s="52"/>
      <c r="C15" s="52"/>
      <c r="D15" s="52"/>
      <c r="E15" s="12"/>
      <c r="F15" s="1"/>
      <c r="G15" s="52"/>
      <c r="H15" s="52"/>
      <c r="I15" s="52"/>
      <c r="J15" s="52"/>
      <c r="K15" s="52"/>
      <c r="L15" s="52"/>
    </row>
    <row r="16" spans="1:12" ht="21" x14ac:dyDescent="0.35">
      <c r="A16" s="52" t="s">
        <v>133</v>
      </c>
      <c r="B16" s="52"/>
      <c r="C16" s="1"/>
      <c r="D16" s="1"/>
      <c r="E16" s="1"/>
      <c r="F16" s="1"/>
      <c r="G16" s="52" t="s">
        <v>133</v>
      </c>
      <c r="H16" s="52"/>
      <c r="I16" s="1"/>
      <c r="J16" s="1"/>
      <c r="K16" s="1"/>
      <c r="L16" s="1"/>
    </row>
    <row r="17" spans="1:17" ht="21" x14ac:dyDescent="0.35">
      <c r="A17" s="52" t="s">
        <v>134</v>
      </c>
      <c r="B17" s="52"/>
      <c r="C17" s="1">
        <f>SUM(B1)</f>
        <v>0</v>
      </c>
      <c r="D17" s="1"/>
      <c r="E17" s="1"/>
      <c r="F17" s="1"/>
      <c r="G17" s="52" t="s">
        <v>134</v>
      </c>
      <c r="H17" s="52"/>
      <c r="I17" s="1">
        <f>SUM(I1)</f>
        <v>0</v>
      </c>
      <c r="J17" s="1"/>
      <c r="K17" s="1"/>
      <c r="L17" s="1"/>
    </row>
    <row r="18" spans="1:17" ht="21" x14ac:dyDescent="0.35">
      <c r="A18" s="52" t="s">
        <v>135</v>
      </c>
      <c r="B18" s="52"/>
      <c r="C18" s="1">
        <f>SUM(B1)</f>
        <v>0</v>
      </c>
      <c r="D18" s="1"/>
      <c r="E18" s="1"/>
      <c r="F18" s="1"/>
      <c r="G18" s="52" t="s">
        <v>135</v>
      </c>
      <c r="H18" s="52"/>
      <c r="I18" s="1">
        <f>SUM(I1)</f>
        <v>0</v>
      </c>
      <c r="J18" s="1"/>
      <c r="K18" s="1"/>
      <c r="L18" s="1"/>
      <c r="Q18" s="205"/>
    </row>
    <row r="19" spans="1:17" ht="2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</sheetData>
  <mergeCells count="1">
    <mergeCell ref="H2:J2"/>
  </mergeCells>
  <dataValidations count="3">
    <dataValidation type="list" allowBlank="1" showInputMessage="1" showErrorMessage="1" sqref="G4:G14" xr:uid="{BCF156BD-8364-43C4-B858-38FF28A75D0F}">
      <formula1>"LEFT,RIGHT"</formula1>
    </dataValidation>
    <dataValidation type="list" allowBlank="1" showInputMessage="1" showErrorMessage="1" sqref="K1 D1" xr:uid="{D5A7DA27-7112-4EF0-98D3-CB53D0068953}">
      <formula1>"114,125,140"</formula1>
    </dataValidation>
    <dataValidation type="list" allowBlank="1" showInputMessage="1" showErrorMessage="1" sqref="L2 E2" xr:uid="{30253FE5-0DD2-4089-926A-DB849C0E9A7E}">
      <formula1>"SPEAR,ROD,DUCK BILL"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54890-CECD-4A79-B3AB-5F33257DBEBF}">
  <dimension ref="A1:M28"/>
  <sheetViews>
    <sheetView tabSelected="1" workbookViewId="0">
      <selection activeCell="J7" sqref="J7"/>
    </sheetView>
  </sheetViews>
  <sheetFormatPr defaultColWidth="9.140625" defaultRowHeight="21" x14ac:dyDescent="0.35"/>
  <cols>
    <col min="1" max="1" width="13.5703125" style="1" customWidth="1"/>
    <col min="2" max="2" width="18.7109375" style="1" customWidth="1"/>
    <col min="3" max="3" width="14.85546875" style="1" customWidth="1"/>
    <col min="4" max="4" width="42.140625" style="1" customWidth="1"/>
    <col min="5" max="5" width="15" style="1" customWidth="1"/>
    <col min="6" max="6" width="11.85546875" style="1" bestFit="1" customWidth="1"/>
    <col min="7" max="7" width="11.28515625" style="1" customWidth="1"/>
    <col min="8" max="8" width="13.28515625" style="1" customWidth="1"/>
    <col min="9" max="9" width="10.85546875" style="1" customWidth="1"/>
    <col min="10" max="10" width="15.85546875" style="1" customWidth="1"/>
    <col min="11" max="11" width="16.7109375" style="1" customWidth="1"/>
    <col min="12" max="12" width="13.5703125" style="1" customWidth="1"/>
    <col min="13" max="13" width="11.28515625" style="1" customWidth="1"/>
    <col min="14" max="16384" width="9.140625" style="1"/>
  </cols>
  <sheetData>
    <row r="1" spans="1:13" x14ac:dyDescent="0.35">
      <c r="A1" s="273" t="s">
        <v>211</v>
      </c>
      <c r="B1" s="273"/>
      <c r="C1" s="273"/>
      <c r="D1" s="273"/>
      <c r="E1" s="273"/>
      <c r="F1" s="274"/>
    </row>
    <row r="2" spans="1:13" ht="21.75" thickBot="1" x14ac:dyDescent="0.4">
      <c r="A2" s="279" t="s">
        <v>85</v>
      </c>
      <c r="B2" s="280"/>
      <c r="D2" s="276" t="s">
        <v>40</v>
      </c>
      <c r="E2" s="277"/>
      <c r="F2" s="278"/>
    </row>
    <row r="3" spans="1:13" x14ac:dyDescent="0.35">
      <c r="A3" s="249" t="s">
        <v>337</v>
      </c>
      <c r="B3" s="250">
        <v>1</v>
      </c>
      <c r="D3" s="19" t="s">
        <v>86</v>
      </c>
      <c r="E3" s="19" t="s">
        <v>68</v>
      </c>
      <c r="F3" s="19" t="s">
        <v>87</v>
      </c>
    </row>
    <row r="4" spans="1:13" x14ac:dyDescent="0.35">
      <c r="A4" s="2" t="s">
        <v>10</v>
      </c>
      <c r="B4" s="198"/>
      <c r="D4" s="2" t="s">
        <v>212</v>
      </c>
      <c r="E4" s="189">
        <f>IF(B10&lt;4,B7+410,B7+525)</f>
        <v>410</v>
      </c>
      <c r="F4" s="2" cm="1">
        <f t="array" ref="F4">_xlfn.IFS(B5="s",2*B3,B5="d",4*B3)</f>
        <v>4</v>
      </c>
      <c r="I4" s="56"/>
    </row>
    <row r="5" spans="1:13" x14ac:dyDescent="0.35">
      <c r="A5" s="2" t="s">
        <v>84</v>
      </c>
      <c r="B5" s="84" t="s">
        <v>88</v>
      </c>
      <c r="D5" s="2" t="s">
        <v>213</v>
      </c>
      <c r="E5" s="189" cm="1">
        <f t="array" ref="E5">_xlfn.IFS(B8="32NB",(B7-134)/2,B8="40NB",(B7-150)/2,B8="25NB",(B7-108)/2)</f>
        <v>-75</v>
      </c>
      <c r="F5" s="2" cm="1">
        <f t="array" ref="F5">_xlfn.IFS(B5="d",G7*2*B3,B5="s",G7*B3)</f>
        <v>0</v>
      </c>
      <c r="I5" s="56"/>
    </row>
    <row r="6" spans="1:13" x14ac:dyDescent="0.35">
      <c r="A6" s="2" t="s">
        <v>83</v>
      </c>
      <c r="B6" s="189">
        <f>IF(B5="S",B4-30,B4/2-30)</f>
        <v>-30</v>
      </c>
      <c r="D6" s="2" t="s">
        <v>214</v>
      </c>
      <c r="E6" s="189" cm="1">
        <f t="array" ref="E6">_xlfn.IFS(B8="32NB",B6-84.8,B8="40NB",B6-96.6,B8="25NB",B6-67.4)</f>
        <v>-126.6</v>
      </c>
      <c r="F6" s="217">
        <f>IF(AND(B5="s",B7&lt;1500),1*B3,IF(AND(B5="s",B7&gt;1500),2*B3,IF(AND(B5="d",B7&lt;1500),2*B3,IF(AND(B5="d",B7&gt;1500),6*B3))))</f>
        <v>2</v>
      </c>
      <c r="G6" s="212"/>
      <c r="H6" s="212"/>
      <c r="I6" s="212"/>
      <c r="J6" s="212"/>
      <c r="K6" s="212"/>
      <c r="L6" s="212"/>
      <c r="M6" s="212"/>
    </row>
    <row r="7" spans="1:13" x14ac:dyDescent="0.35">
      <c r="A7" s="2" t="s">
        <v>81</v>
      </c>
      <c r="B7" s="198"/>
      <c r="D7" s="2" t="s">
        <v>215</v>
      </c>
      <c r="E7" s="189">
        <f>IF(B10&lt;4,410,525)</f>
        <v>410</v>
      </c>
      <c r="F7" s="2" cm="1">
        <f t="array" ref="F7">_xlfn.IFS(B5="d",G9*2*B3,B5="s",G9*B3)</f>
        <v>0</v>
      </c>
      <c r="G7" s="212" cm="1">
        <f t="array" ref="G7">_xlfn.IFS(B6&gt;4500,8,B6&gt;3700,6,B6&gt;2500,4,B6&gt;1300,2,B6&lt;1300,0)</f>
        <v>0</v>
      </c>
      <c r="H7" s="212"/>
      <c r="I7" s="213"/>
      <c r="J7" s="212"/>
      <c r="K7" s="212"/>
      <c r="L7" s="212"/>
      <c r="M7" s="212"/>
    </row>
    <row r="8" spans="1:13" x14ac:dyDescent="0.35">
      <c r="A8" s="2" t="s">
        <v>79</v>
      </c>
      <c r="B8" s="84" t="s">
        <v>204</v>
      </c>
      <c r="G8" s="212"/>
      <c r="H8" s="212"/>
      <c r="I8" s="213"/>
      <c r="J8" s="212"/>
      <c r="K8" s="212"/>
      <c r="L8" s="212"/>
      <c r="M8" s="212"/>
    </row>
    <row r="9" spans="1:13" x14ac:dyDescent="0.35">
      <c r="A9" s="2" t="s">
        <v>80</v>
      </c>
      <c r="B9" s="84"/>
      <c r="G9" s="212">
        <f>SUM(G7/2)</f>
        <v>0</v>
      </c>
      <c r="H9" s="212"/>
      <c r="I9" s="213"/>
      <c r="J9" s="214"/>
      <c r="K9" s="212"/>
      <c r="L9" s="212"/>
      <c r="M9" s="212"/>
    </row>
    <row r="10" spans="1:13" x14ac:dyDescent="0.35">
      <c r="A10" s="2" t="s">
        <v>82</v>
      </c>
      <c r="B10" s="84">
        <v>3</v>
      </c>
      <c r="G10" s="212"/>
      <c r="H10" s="212"/>
      <c r="I10" s="213"/>
      <c r="J10" s="212"/>
      <c r="K10" s="212"/>
      <c r="L10" s="212"/>
      <c r="M10" s="212"/>
    </row>
    <row r="11" spans="1:13" x14ac:dyDescent="0.35">
      <c r="G11" s="215"/>
      <c r="H11" s="212"/>
      <c r="I11" s="212"/>
      <c r="J11" s="212"/>
      <c r="K11" s="212"/>
      <c r="L11" s="212"/>
      <c r="M11" s="212"/>
    </row>
    <row r="12" spans="1:13" ht="2.25" customHeight="1" x14ac:dyDescent="0.35">
      <c r="G12" s="212"/>
      <c r="H12" s="212"/>
      <c r="I12" s="212"/>
      <c r="J12" s="212"/>
      <c r="K12" s="212"/>
      <c r="L12" s="212"/>
      <c r="M12" s="212"/>
    </row>
    <row r="13" spans="1:13" hidden="1" x14ac:dyDescent="0.35">
      <c r="D13" s="1">
        <v>1800</v>
      </c>
      <c r="E13" s="1">
        <f>SUM(D13-128)/2</f>
        <v>836</v>
      </c>
      <c r="G13" s="212"/>
      <c r="H13" s="212"/>
      <c r="I13" s="212"/>
      <c r="J13" s="212"/>
      <c r="K13" s="212"/>
      <c r="L13" s="212"/>
      <c r="M13" s="212"/>
    </row>
    <row r="14" spans="1:13" hidden="1" x14ac:dyDescent="0.35">
      <c r="G14" s="212"/>
      <c r="H14" s="212"/>
      <c r="I14" s="212"/>
      <c r="J14" s="212"/>
      <c r="K14" s="212"/>
      <c r="L14" s="212"/>
      <c r="M14" s="212"/>
    </row>
    <row r="15" spans="1:13" hidden="1" x14ac:dyDescent="0.35">
      <c r="G15" s="212"/>
      <c r="H15" s="212"/>
      <c r="I15" s="212"/>
      <c r="J15" s="212"/>
      <c r="K15" s="212"/>
      <c r="L15" s="212"/>
      <c r="M15" s="212"/>
    </row>
    <row r="16" spans="1:13" ht="21.75" hidden="1" thickBot="1" x14ac:dyDescent="0.4">
      <c r="D16" s="184"/>
      <c r="E16" s="184"/>
      <c r="F16" s="184"/>
      <c r="G16" s="212"/>
      <c r="H16" s="212"/>
      <c r="I16" s="212"/>
      <c r="J16" s="212"/>
      <c r="K16" s="212"/>
      <c r="L16" s="212"/>
      <c r="M16" s="212"/>
    </row>
    <row r="17" spans="1:13" ht="21.75" thickBot="1" x14ac:dyDescent="0.4">
      <c r="D17" s="283" t="s">
        <v>40</v>
      </c>
      <c r="E17" s="284"/>
      <c r="F17" s="284"/>
      <c r="G17" s="212"/>
      <c r="H17" s="212"/>
      <c r="I17" s="212"/>
      <c r="J17" s="212"/>
      <c r="K17" s="212"/>
      <c r="L17" s="212"/>
      <c r="M17" s="212"/>
    </row>
    <row r="18" spans="1:13" ht="21.75" thickBot="1" x14ac:dyDescent="0.4">
      <c r="A18" s="183" t="s">
        <v>120</v>
      </c>
      <c r="B18" s="184"/>
      <c r="C18" s="184"/>
      <c r="D18" s="19" t="s">
        <v>86</v>
      </c>
      <c r="E18" s="19" t="s">
        <v>68</v>
      </c>
      <c r="F18" s="31" t="s">
        <v>87</v>
      </c>
      <c r="G18" s="212"/>
      <c r="H18" s="275"/>
      <c r="I18" s="275"/>
      <c r="J18" s="275"/>
      <c r="K18" s="275"/>
      <c r="L18" s="275"/>
      <c r="M18" s="275"/>
    </row>
    <row r="19" spans="1:13" x14ac:dyDescent="0.35">
      <c r="A19" s="281" t="s">
        <v>85</v>
      </c>
      <c r="B19" s="282"/>
      <c r="D19" s="2" t="s">
        <v>121</v>
      </c>
      <c r="E19" s="189" cm="1">
        <f t="array" ref="E19">_xlfn.IFS(B25="32NB",(B24*2)+B23-265,B25="40NB",(B24*2)+B23-314,B25="25NB",(B24*2)+B23-200)</f>
        <v>-295</v>
      </c>
      <c r="F19" s="10">
        <f>IF(B22="d",2*B20,1*B20)</f>
        <v>1</v>
      </c>
      <c r="G19" s="212"/>
      <c r="H19" s="275"/>
      <c r="I19" s="275"/>
      <c r="J19" s="212"/>
      <c r="K19" s="275"/>
      <c r="L19" s="275"/>
      <c r="M19" s="275"/>
    </row>
    <row r="20" spans="1:13" x14ac:dyDescent="0.35">
      <c r="A20" s="249" t="s">
        <v>337</v>
      </c>
      <c r="B20" s="250">
        <v>1</v>
      </c>
      <c r="D20" s="2" t="s">
        <v>122</v>
      </c>
      <c r="E20" s="248" cm="1">
        <f t="array" ref="E20">_xlfn.IFS(B25="32NB",B24-65,B25="40NB",B24-78,B25="25NB",B24-50)</f>
        <v>-65</v>
      </c>
      <c r="F20" s="65"/>
      <c r="G20" s="212"/>
      <c r="H20" s="216"/>
      <c r="I20" s="216"/>
      <c r="J20" s="212"/>
      <c r="K20" s="216"/>
      <c r="L20" s="216"/>
      <c r="M20" s="216"/>
    </row>
    <row r="21" spans="1:13" x14ac:dyDescent="0.35">
      <c r="A21" s="2" t="s">
        <v>10</v>
      </c>
      <c r="B21" s="198"/>
      <c r="D21" s="2" t="s">
        <v>123</v>
      </c>
      <c r="E21" s="248" cm="1">
        <f t="array" ref="E21">_xlfn.IFS(B25="32NB",B23-135,B25="40NB",B23-158,B25="25NB",B23-100)</f>
        <v>-165</v>
      </c>
      <c r="F21" s="31"/>
      <c r="G21" s="212"/>
      <c r="H21" s="214"/>
      <c r="I21" s="213"/>
      <c r="J21" s="212"/>
      <c r="K21" s="212"/>
      <c r="L21" s="212"/>
      <c r="M21" s="212"/>
    </row>
    <row r="22" spans="1:13" x14ac:dyDescent="0.35">
      <c r="A22" s="2" t="s">
        <v>84</v>
      </c>
      <c r="B22" s="84" t="s">
        <v>205</v>
      </c>
      <c r="C22"/>
      <c r="D22" s="2" t="s">
        <v>214</v>
      </c>
      <c r="E22" s="189" cm="1">
        <f t="array" ref="E22">_xlfn.IFS(B25="32NB",B23-84.8,B25="40NB",B23-96.6,B25="25NB",B23-67.4)</f>
        <v>-114.8</v>
      </c>
      <c r="F22" s="19">
        <f>IF(AND(B22="s",B24&lt;1500),1*B20,IF(AND(B22="s",B24&gt;1500),2*B20,IF(AND(B22="d",B24&lt;1500),2*B20,IF(AND(B22="d",B24&gt;1500),4*B20))))</f>
        <v>1</v>
      </c>
      <c r="G22" s="212"/>
      <c r="H22" s="212"/>
      <c r="I22" s="213"/>
      <c r="J22" s="212"/>
      <c r="K22" s="275"/>
      <c r="L22" s="275"/>
      <c r="M22" s="275"/>
    </row>
    <row r="23" spans="1:13" x14ac:dyDescent="0.35">
      <c r="A23" s="2" t="s">
        <v>83</v>
      </c>
      <c r="B23" s="189">
        <f>IF(B22="S",B21-30,B21/2-30)</f>
        <v>-30</v>
      </c>
      <c r="D23" s="2" t="s">
        <v>213</v>
      </c>
      <c r="E23" s="189" cm="1">
        <f t="array" ref="E23">_xlfn.IFS(B25="32NB",(B24-134)/2,B25="40NB",(B24-150)/2,B25="25NB",(B24-108)/2)</f>
        <v>-67</v>
      </c>
      <c r="F23" s="2" cm="1">
        <f t="array" ref="F23">_xlfn.IFS(B22="d",G27*2*B20,B22="s",G27*B20)</f>
        <v>0</v>
      </c>
      <c r="G23" s="212"/>
      <c r="H23" s="212"/>
      <c r="I23" s="212"/>
      <c r="J23" s="212"/>
      <c r="K23" s="212"/>
      <c r="L23" s="212"/>
      <c r="M23" s="212"/>
    </row>
    <row r="24" spans="1:13" x14ac:dyDescent="0.35">
      <c r="A24" s="2" t="s">
        <v>81</v>
      </c>
      <c r="B24" s="198"/>
      <c r="G24" s="212"/>
      <c r="H24" s="212"/>
      <c r="I24" s="213"/>
      <c r="J24" s="275"/>
      <c r="K24" s="275"/>
      <c r="L24" s="212"/>
      <c r="M24" s="212"/>
    </row>
    <row r="25" spans="1:13" x14ac:dyDescent="0.35">
      <c r="A25" s="2" t="s">
        <v>79</v>
      </c>
      <c r="B25" s="84" t="s">
        <v>203</v>
      </c>
      <c r="G25" s="212"/>
      <c r="H25" s="212"/>
      <c r="I25" s="213"/>
      <c r="J25" s="212"/>
      <c r="K25" s="212"/>
      <c r="L25" s="212"/>
      <c r="M25" s="212"/>
    </row>
    <row r="26" spans="1:13" x14ac:dyDescent="0.35">
      <c r="A26" s="2" t="s">
        <v>80</v>
      </c>
      <c r="B26" s="84"/>
      <c r="G26" s="212"/>
      <c r="H26" s="212"/>
      <c r="I26" s="213"/>
      <c r="J26" s="212"/>
      <c r="K26" s="212"/>
      <c r="L26" s="212"/>
      <c r="M26" s="212"/>
    </row>
    <row r="27" spans="1:13" x14ac:dyDescent="0.35">
      <c r="G27" s="212" cm="1">
        <f t="array" ref="G27">_xlfn.IFS(B23&gt;4500,8,B23&gt;3700,6,B23&gt;2500,4,B23&gt;1300,2,B23&lt;1300,0)</f>
        <v>0</v>
      </c>
      <c r="H27" s="212"/>
      <c r="I27" s="212"/>
      <c r="J27" s="212"/>
      <c r="K27" s="212"/>
      <c r="L27" s="212"/>
      <c r="M27" s="212"/>
    </row>
    <row r="28" spans="1:13" x14ac:dyDescent="0.35">
      <c r="G28" s="212"/>
      <c r="H28" s="212"/>
      <c r="I28" s="212"/>
      <c r="J28" s="212"/>
      <c r="K28" s="212"/>
      <c r="L28" s="212"/>
      <c r="M28" s="212"/>
    </row>
  </sheetData>
  <mergeCells count="10">
    <mergeCell ref="A1:F1"/>
    <mergeCell ref="H19:I19"/>
    <mergeCell ref="K19:M19"/>
    <mergeCell ref="K22:M22"/>
    <mergeCell ref="J24:K24"/>
    <mergeCell ref="H18:M18"/>
    <mergeCell ref="D2:F2"/>
    <mergeCell ref="A2:B2"/>
    <mergeCell ref="A19:B19"/>
    <mergeCell ref="D17:F17"/>
  </mergeCells>
  <dataValidations count="4">
    <dataValidation type="list" allowBlank="1" showInputMessage="1" showErrorMessage="1" sqref="B5 B22" xr:uid="{69CF1951-51E1-4DFB-A0FC-13BAC163B6D3}">
      <formula1>"S,D"</formula1>
    </dataValidation>
    <dataValidation type="list" allowBlank="1" showInputMessage="1" showErrorMessage="1" sqref="B10" xr:uid="{7988D091-72F0-4514-AB52-034ECEC53F18}">
      <formula1>"2,3,4"</formula1>
    </dataValidation>
    <dataValidation type="list" allowBlank="1" showInputMessage="1" showErrorMessage="1" sqref="B9 B26" xr:uid="{3C11B709-2A88-4778-8ABD-6E5F680C323A}">
      <formula1>"XL,L,M"</formula1>
    </dataValidation>
    <dataValidation type="list" allowBlank="1" showInputMessage="1" showErrorMessage="1" sqref="B8 B25" xr:uid="{C2387BF2-D202-404A-B047-70EBBD72EC96}">
      <formula1>"25nb,32nb,40nb"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A3DA-ECE1-4A96-9734-7AD189C9611D}">
  <sheetPr>
    <pageSetUpPr fitToPage="1"/>
  </sheetPr>
  <dimension ref="A1:R30"/>
  <sheetViews>
    <sheetView workbookViewId="0">
      <selection activeCell="G7" sqref="G7"/>
    </sheetView>
  </sheetViews>
  <sheetFormatPr defaultRowHeight="15" x14ac:dyDescent="0.25"/>
  <cols>
    <col min="2" max="2" width="13.28515625" customWidth="1"/>
    <col min="3" max="3" width="12.28515625" customWidth="1"/>
    <col min="4" max="4" width="12.140625" customWidth="1"/>
    <col min="7" max="7" width="3.42578125" customWidth="1"/>
    <col min="8" max="8" width="12.28515625" customWidth="1"/>
    <col min="9" max="9" width="13" customWidth="1"/>
    <col min="11" max="11" width="14.140625" customWidth="1"/>
    <col min="12" max="12" width="11.140625" customWidth="1"/>
    <col min="13" max="13" width="11.85546875" customWidth="1"/>
    <col min="15" max="15" width="12.7109375" customWidth="1"/>
    <col min="17" max="17" width="13.85546875" customWidth="1"/>
  </cols>
  <sheetData>
    <row r="1" spans="1:18" ht="29.25" thickBot="1" x14ac:dyDescent="0.5">
      <c r="A1" s="297" t="s">
        <v>103</v>
      </c>
      <c r="B1" s="298"/>
      <c r="C1" s="298"/>
      <c r="D1" s="299"/>
      <c r="E1" s="1"/>
      <c r="F1" s="1"/>
      <c r="G1" s="1"/>
      <c r="H1" s="300" t="s">
        <v>40</v>
      </c>
      <c r="I1" s="301"/>
      <c r="J1" s="301"/>
      <c r="K1" s="302"/>
      <c r="L1" s="1"/>
      <c r="M1" s="1"/>
      <c r="N1" s="1"/>
      <c r="O1" s="1"/>
      <c r="P1" s="1"/>
      <c r="Q1" s="1"/>
      <c r="R1" s="1"/>
    </row>
    <row r="2" spans="1:18" ht="20.2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7.25" customHeight="1" thickBot="1" x14ac:dyDescent="0.4">
      <c r="A3" s="287" t="s">
        <v>104</v>
      </c>
      <c r="B3" s="288"/>
      <c r="C3" s="288"/>
      <c r="D3" s="289"/>
      <c r="E3" s="1"/>
      <c r="F3" s="1"/>
      <c r="G3" s="1"/>
      <c r="H3" s="290" t="s">
        <v>105</v>
      </c>
      <c r="I3" s="291"/>
      <c r="J3" s="292" t="s">
        <v>106</v>
      </c>
      <c r="K3" s="293"/>
      <c r="L3" s="292" t="s">
        <v>107</v>
      </c>
      <c r="M3" s="293"/>
      <c r="N3" s="1"/>
      <c r="O3" s="1"/>
      <c r="P3" s="1"/>
      <c r="Q3" s="1"/>
      <c r="R3" s="1"/>
    </row>
    <row r="4" spans="1:18" ht="24" customHeight="1" x14ac:dyDescent="0.35">
      <c r="A4" s="19" t="s">
        <v>66</v>
      </c>
      <c r="B4" s="19" t="s">
        <v>67</v>
      </c>
      <c r="C4" s="19" t="s">
        <v>68</v>
      </c>
      <c r="D4" s="19" t="s">
        <v>81</v>
      </c>
      <c r="E4" s="2" t="s">
        <v>108</v>
      </c>
      <c r="F4" s="1"/>
      <c r="G4" s="1"/>
      <c r="H4" s="4" t="s">
        <v>66</v>
      </c>
      <c r="I4" s="5" t="s">
        <v>68</v>
      </c>
      <c r="J4" s="4" t="s">
        <v>66</v>
      </c>
      <c r="K4" s="5" t="s">
        <v>68</v>
      </c>
      <c r="L4" s="4" t="s">
        <v>66</v>
      </c>
      <c r="M4" s="5" t="s">
        <v>68</v>
      </c>
      <c r="N4" s="1"/>
      <c r="O4" s="1"/>
      <c r="P4" s="1"/>
      <c r="Q4" s="1"/>
      <c r="R4" s="1"/>
    </row>
    <row r="5" spans="1:18" ht="20.25" customHeight="1" x14ac:dyDescent="0.35">
      <c r="A5" s="110"/>
      <c r="B5" s="197"/>
      <c r="C5" s="198"/>
      <c r="D5" s="198"/>
      <c r="E5" s="84"/>
      <c r="F5" s="1"/>
      <c r="G5" s="1"/>
      <c r="H5" s="45" t="e">
        <f>SUM(C5/E5)*A5</f>
        <v>#DIV/0!</v>
      </c>
      <c r="I5" s="203">
        <f>SUM(D5-10)</f>
        <v>-10</v>
      </c>
      <c r="J5" s="4">
        <f>SUM(A5)</f>
        <v>0</v>
      </c>
      <c r="K5" s="203">
        <f>SUM(C5)</f>
        <v>0</v>
      </c>
      <c r="L5" s="4">
        <f>SUM(A5)</f>
        <v>0</v>
      </c>
      <c r="M5" s="203">
        <f>SUM(C5)</f>
        <v>0</v>
      </c>
      <c r="N5" s="1"/>
      <c r="O5" s="1"/>
      <c r="P5" s="1"/>
      <c r="Q5" s="1"/>
      <c r="R5" s="1"/>
    </row>
    <row r="6" spans="1:18" ht="27.75" customHeight="1" x14ac:dyDescent="0.35">
      <c r="A6" s="110"/>
      <c r="B6" s="197"/>
      <c r="C6" s="198"/>
      <c r="D6" s="198"/>
      <c r="E6" s="84"/>
      <c r="F6" s="1"/>
      <c r="G6" s="1"/>
      <c r="H6" s="45" t="e">
        <f>SUM(C6/E6)*A6</f>
        <v>#DIV/0!</v>
      </c>
      <c r="I6" s="203">
        <f>SUM(D6-10)</f>
        <v>-10</v>
      </c>
      <c r="J6" s="4">
        <f t="shared" ref="J6:J9" si="0">SUM(A6)</f>
        <v>0</v>
      </c>
      <c r="K6" s="203">
        <f t="shared" ref="K6:K9" si="1">SUM(C6)</f>
        <v>0</v>
      </c>
      <c r="L6" s="4">
        <f t="shared" ref="L6:L9" si="2">SUM(A6)</f>
        <v>0</v>
      </c>
      <c r="M6" s="203">
        <f t="shared" ref="M6:M9" si="3">SUM(C6)</f>
        <v>0</v>
      </c>
      <c r="N6" s="1"/>
      <c r="O6" s="1"/>
      <c r="P6" s="1"/>
      <c r="Q6" s="1"/>
      <c r="R6" s="1"/>
    </row>
    <row r="7" spans="1:18" ht="27.75" customHeight="1" x14ac:dyDescent="0.35">
      <c r="A7" s="110"/>
      <c r="B7" s="197"/>
      <c r="C7" s="198"/>
      <c r="D7" s="198"/>
      <c r="E7" s="84"/>
      <c r="F7" s="1"/>
      <c r="G7" s="1"/>
      <c r="H7" s="45" t="e">
        <f>SUM(C7/E7)*A7</f>
        <v>#DIV/0!</v>
      </c>
      <c r="I7" s="203">
        <f>SUM(D7-10)</f>
        <v>-10</v>
      </c>
      <c r="J7" s="4">
        <f t="shared" si="0"/>
        <v>0</v>
      </c>
      <c r="K7" s="203">
        <f t="shared" si="1"/>
        <v>0</v>
      </c>
      <c r="L7" s="4">
        <f t="shared" si="2"/>
        <v>0</v>
      </c>
      <c r="M7" s="203">
        <f t="shared" si="3"/>
        <v>0</v>
      </c>
      <c r="N7" s="1"/>
      <c r="O7" s="1"/>
      <c r="P7" s="1"/>
      <c r="Q7" s="1"/>
      <c r="R7" s="1"/>
    </row>
    <row r="8" spans="1:18" ht="22.5" customHeight="1" x14ac:dyDescent="0.35">
      <c r="A8" s="110"/>
      <c r="B8" s="197"/>
      <c r="C8" s="198"/>
      <c r="D8" s="198"/>
      <c r="E8" s="84"/>
      <c r="F8" s="1"/>
      <c r="G8" s="1"/>
      <c r="H8" s="45" t="e">
        <f>SUM(C8/E8)*A8</f>
        <v>#DIV/0!</v>
      </c>
      <c r="I8" s="203">
        <f>SUM(D8-10)</f>
        <v>-10</v>
      </c>
      <c r="J8" s="4">
        <f t="shared" si="0"/>
        <v>0</v>
      </c>
      <c r="K8" s="203">
        <f t="shared" si="1"/>
        <v>0</v>
      </c>
      <c r="L8" s="4">
        <f t="shared" si="2"/>
        <v>0</v>
      </c>
      <c r="M8" s="203">
        <f t="shared" si="3"/>
        <v>0</v>
      </c>
      <c r="N8" s="1"/>
      <c r="O8" s="1"/>
      <c r="P8" s="1"/>
      <c r="Q8" s="1"/>
      <c r="R8" s="1"/>
    </row>
    <row r="9" spans="1:18" ht="24.75" customHeight="1" thickBot="1" x14ac:dyDescent="0.4">
      <c r="A9" s="110"/>
      <c r="B9" s="197"/>
      <c r="C9" s="198"/>
      <c r="D9" s="198"/>
      <c r="E9" s="84"/>
      <c r="F9" s="1"/>
      <c r="G9" s="1"/>
      <c r="H9" s="45" t="e">
        <f>SUM(C9/E9)*A9</f>
        <v>#DIV/0!</v>
      </c>
      <c r="I9" s="203">
        <f>SUM(D9-10)</f>
        <v>-10</v>
      </c>
      <c r="J9" s="4">
        <f t="shared" si="0"/>
        <v>0</v>
      </c>
      <c r="K9" s="203">
        <f t="shared" si="1"/>
        <v>0</v>
      </c>
      <c r="L9" s="4">
        <f t="shared" si="2"/>
        <v>0</v>
      </c>
      <c r="M9" s="203">
        <f t="shared" si="3"/>
        <v>0</v>
      </c>
      <c r="N9" s="1"/>
      <c r="O9" s="1"/>
      <c r="P9" s="1"/>
      <c r="Q9" s="1"/>
      <c r="R9" s="1"/>
    </row>
    <row r="10" spans="1:18" ht="27.75" customHeight="1" thickBot="1" x14ac:dyDescent="0.4">
      <c r="A10" s="294" t="s">
        <v>109</v>
      </c>
      <c r="B10" s="295"/>
      <c r="C10" s="295"/>
      <c r="D10" s="296"/>
      <c r="E10" s="1"/>
      <c r="F10" s="1"/>
      <c r="G10" s="1"/>
      <c r="H10" s="290" t="s">
        <v>105</v>
      </c>
      <c r="I10" s="291"/>
      <c r="J10" s="285" t="s">
        <v>110</v>
      </c>
      <c r="K10" s="286"/>
      <c r="L10" s="285" t="s">
        <v>111</v>
      </c>
      <c r="M10" s="286"/>
      <c r="N10" s="285" t="s">
        <v>27</v>
      </c>
      <c r="O10" s="286"/>
      <c r="P10" s="285" t="s">
        <v>112</v>
      </c>
      <c r="Q10" s="286"/>
      <c r="R10" s="1"/>
    </row>
    <row r="11" spans="1:18" ht="22.5" customHeight="1" x14ac:dyDescent="0.35">
      <c r="A11" s="37" t="s">
        <v>113</v>
      </c>
      <c r="B11" s="39" t="s">
        <v>10</v>
      </c>
      <c r="C11" s="39" t="s">
        <v>83</v>
      </c>
      <c r="D11" s="39" t="s">
        <v>81</v>
      </c>
      <c r="E11" s="39" t="s">
        <v>108</v>
      </c>
      <c r="F11" s="38" t="s">
        <v>114</v>
      </c>
      <c r="G11" s="1"/>
      <c r="H11" s="4" t="s">
        <v>66</v>
      </c>
      <c r="I11" s="5" t="s">
        <v>68</v>
      </c>
      <c r="J11" s="4" t="s">
        <v>66</v>
      </c>
      <c r="K11" s="5" t="s">
        <v>68</v>
      </c>
      <c r="L11" s="4" t="s">
        <v>66</v>
      </c>
      <c r="M11" s="5" t="s">
        <v>68</v>
      </c>
      <c r="N11" s="4" t="s">
        <v>66</v>
      </c>
      <c r="O11" s="5" t="s">
        <v>68</v>
      </c>
      <c r="P11" s="4" t="s">
        <v>87</v>
      </c>
      <c r="Q11" s="5" t="s">
        <v>68</v>
      </c>
      <c r="R11" s="1"/>
    </row>
    <row r="12" spans="1:18" ht="22.5" customHeight="1" x14ac:dyDescent="0.35">
      <c r="A12" s="111"/>
      <c r="B12" s="198"/>
      <c r="C12" s="189">
        <f>IF(F12="D",(B12-70)/2,B12-40)</f>
        <v>-35</v>
      </c>
      <c r="D12" s="198"/>
      <c r="E12" s="84"/>
      <c r="F12" s="82" t="s">
        <v>125</v>
      </c>
      <c r="G12" s="1"/>
      <c r="H12" s="45" t="e">
        <f>IF(F12="D",(C12*2)/E12,C12/E12)</f>
        <v>#DIV/0!</v>
      </c>
      <c r="I12" s="203">
        <f t="shared" ref="I12:I16" si="4">SUM(D12-10)</f>
        <v>-10</v>
      </c>
      <c r="J12" s="4">
        <f>IF(F12="D",4,2)</f>
        <v>4</v>
      </c>
      <c r="K12" s="203">
        <f>SUM(C12-130)</f>
        <v>-165</v>
      </c>
      <c r="L12" s="4">
        <f>IF(F12="D",2,1)</f>
        <v>2</v>
      </c>
      <c r="M12" s="203">
        <f>SUM(C12-130)</f>
        <v>-165</v>
      </c>
      <c r="N12" s="4">
        <f>IF(F12="D",2,1)</f>
        <v>2</v>
      </c>
      <c r="O12" s="203">
        <f>SUM(D12+20)</f>
        <v>20</v>
      </c>
      <c r="P12" s="4">
        <f>IF(F12="D",2,1)</f>
        <v>2</v>
      </c>
      <c r="Q12" s="203">
        <f>SUM(D12+20)</f>
        <v>20</v>
      </c>
      <c r="R12" s="1"/>
    </row>
    <row r="13" spans="1:18" ht="22.5" customHeight="1" thickBot="1" x14ac:dyDescent="0.4">
      <c r="A13" s="112"/>
      <c r="B13" s="200"/>
      <c r="C13" s="196">
        <f>IF(F13="D",(B13-70)/2,B13-40)</f>
        <v>-35</v>
      </c>
      <c r="D13" s="200"/>
      <c r="E13" s="90"/>
      <c r="F13" s="83" t="s">
        <v>125</v>
      </c>
      <c r="G13" s="1"/>
      <c r="H13" s="45" t="e">
        <f t="shared" ref="H13:H16" si="5">IF(F13="D",(C13*2)/E13,C13/E13)</f>
        <v>#DIV/0!</v>
      </c>
      <c r="I13" s="203">
        <f t="shared" si="4"/>
        <v>-10</v>
      </c>
      <c r="J13" s="4">
        <f t="shared" ref="J13:J16" si="6">IF(F13="D",4,2)</f>
        <v>4</v>
      </c>
      <c r="K13" s="203">
        <f t="shared" ref="K13:K16" si="7">SUM(C13-130)</f>
        <v>-165</v>
      </c>
      <c r="L13" s="4">
        <f t="shared" ref="L13:L16" si="8">IF(F13="D",2,1)</f>
        <v>2</v>
      </c>
      <c r="M13" s="203">
        <f t="shared" ref="M13:M16" si="9">SUM(C13-130)</f>
        <v>-165</v>
      </c>
      <c r="N13" s="4">
        <f t="shared" ref="N13:N16" si="10">IF(F13="D",2,1)</f>
        <v>2</v>
      </c>
      <c r="O13" s="203">
        <f>SUM(D13+20)</f>
        <v>20</v>
      </c>
      <c r="P13" s="4">
        <f t="shared" ref="P13:P16" si="11">IF(F13="D",2,1)</f>
        <v>2</v>
      </c>
      <c r="Q13" s="203">
        <f t="shared" ref="Q13:Q16" si="12">SUM(D13+20)</f>
        <v>20</v>
      </c>
      <c r="R13" s="1"/>
    </row>
    <row r="14" spans="1:18" ht="22.5" customHeight="1" thickBot="1" x14ac:dyDescent="0.4">
      <c r="A14" s="56"/>
      <c r="B14" s="56"/>
      <c r="C14" s="1"/>
      <c r="D14" s="56"/>
      <c r="E14" s="56"/>
      <c r="F14" s="202"/>
      <c r="G14" s="1"/>
      <c r="H14" s="290" t="s">
        <v>105</v>
      </c>
      <c r="I14" s="291"/>
      <c r="J14" s="285" t="s">
        <v>110</v>
      </c>
      <c r="K14" s="286"/>
      <c r="L14" s="285" t="s">
        <v>111</v>
      </c>
      <c r="M14" s="286"/>
      <c r="N14" s="285" t="s">
        <v>27</v>
      </c>
      <c r="O14" s="286"/>
      <c r="P14" s="285" t="s">
        <v>112</v>
      </c>
      <c r="Q14" s="286"/>
      <c r="R14" s="1"/>
    </row>
    <row r="15" spans="1:18" ht="21.75" thickBot="1" x14ac:dyDescent="0.4">
      <c r="A15" s="287" t="s">
        <v>115</v>
      </c>
      <c r="B15" s="288"/>
      <c r="C15" s="288"/>
      <c r="D15" s="288"/>
      <c r="E15" s="288"/>
      <c r="F15" s="289"/>
      <c r="G15" s="1"/>
      <c r="H15" s="4" t="s">
        <v>66</v>
      </c>
      <c r="I15" s="5" t="s">
        <v>68</v>
      </c>
      <c r="J15" s="4" t="s">
        <v>66</v>
      </c>
      <c r="K15" s="5" t="s">
        <v>68</v>
      </c>
      <c r="L15" s="4" t="s">
        <v>66</v>
      </c>
      <c r="M15" s="5" t="s">
        <v>68</v>
      </c>
      <c r="N15" s="4" t="s">
        <v>66</v>
      </c>
      <c r="O15" s="5" t="s">
        <v>68</v>
      </c>
      <c r="P15" s="4" t="s">
        <v>87</v>
      </c>
      <c r="Q15" s="5" t="s">
        <v>68</v>
      </c>
      <c r="R15" s="1"/>
    </row>
    <row r="16" spans="1:18" ht="21.75" thickBot="1" x14ac:dyDescent="0.4">
      <c r="A16" s="113"/>
      <c r="B16" s="199"/>
      <c r="C16" s="194">
        <f t="shared" ref="C16:C22" si="13">IF(F16="D",(B16-120)/2,B16-70)</f>
        <v>-60</v>
      </c>
      <c r="D16" s="199"/>
      <c r="E16" s="84"/>
      <c r="F16" s="84" t="s">
        <v>125</v>
      </c>
      <c r="G16" s="1"/>
      <c r="H16" s="46" t="e">
        <f t="shared" si="5"/>
        <v>#DIV/0!</v>
      </c>
      <c r="I16" s="204">
        <f t="shared" si="4"/>
        <v>-10</v>
      </c>
      <c r="J16" s="3">
        <f t="shared" si="6"/>
        <v>4</v>
      </c>
      <c r="K16" s="204">
        <f t="shared" si="7"/>
        <v>-190</v>
      </c>
      <c r="L16" s="3">
        <f t="shared" si="8"/>
        <v>2</v>
      </c>
      <c r="M16" s="204">
        <f t="shared" si="9"/>
        <v>-190</v>
      </c>
      <c r="N16" s="3">
        <f t="shared" si="10"/>
        <v>2</v>
      </c>
      <c r="O16" s="204">
        <f t="shared" ref="O16" si="14">SUM(D16)</f>
        <v>0</v>
      </c>
      <c r="P16" s="3">
        <f t="shared" si="11"/>
        <v>2</v>
      </c>
      <c r="Q16" s="204">
        <f t="shared" si="12"/>
        <v>20</v>
      </c>
      <c r="R16" s="1"/>
    </row>
    <row r="17" spans="1:18" ht="21.75" thickBot="1" x14ac:dyDescent="0.4">
      <c r="A17" s="113"/>
      <c r="B17" s="199"/>
      <c r="C17" s="194">
        <f t="shared" si="13"/>
        <v>-70</v>
      </c>
      <c r="D17" s="199"/>
      <c r="E17" s="84"/>
      <c r="F17" s="84" t="s">
        <v>205</v>
      </c>
      <c r="G17" s="1"/>
      <c r="H17" s="46" t="e">
        <f t="shared" ref="H17:H22" si="15">IF(F17="D",(C17*2)/E17,C17/E17)</f>
        <v>#DIV/0!</v>
      </c>
      <c r="I17" s="204">
        <f t="shared" ref="I17:I22" si="16">SUM(D17-10)</f>
        <v>-10</v>
      </c>
      <c r="J17" s="3">
        <f t="shared" ref="J17:J22" si="17">IF(F17="D",4,2)</f>
        <v>2</v>
      </c>
      <c r="K17" s="204">
        <f t="shared" ref="K17:K22" si="18">SUM(C17-130)</f>
        <v>-200</v>
      </c>
      <c r="L17" s="3">
        <f t="shared" ref="L17:L22" si="19">IF(F17="D",2,1)</f>
        <v>1</v>
      </c>
      <c r="M17" s="204">
        <f t="shared" ref="M17:M22" si="20">SUM(C17-130)</f>
        <v>-200</v>
      </c>
      <c r="N17" s="3">
        <f t="shared" ref="N17:N22" si="21">IF(F17="D",2,1)</f>
        <v>1</v>
      </c>
      <c r="O17" s="204">
        <f t="shared" ref="O17:O22" si="22">SUM(D17)</f>
        <v>0</v>
      </c>
      <c r="P17" s="3">
        <f t="shared" ref="P17:P22" si="23">IF(F17="D",2,1)</f>
        <v>1</v>
      </c>
      <c r="Q17" s="204">
        <f t="shared" ref="Q17:Q22" si="24">SUM(D17+20)</f>
        <v>20</v>
      </c>
      <c r="R17" s="1"/>
    </row>
    <row r="18" spans="1:18" ht="21.75" thickBot="1" x14ac:dyDescent="0.4">
      <c r="A18" s="113"/>
      <c r="B18" s="199"/>
      <c r="C18" s="194">
        <f t="shared" si="13"/>
        <v>-60</v>
      </c>
      <c r="D18" s="199"/>
      <c r="E18" s="84"/>
      <c r="F18" s="84" t="s">
        <v>125</v>
      </c>
      <c r="G18" s="1"/>
      <c r="H18" s="46" t="e">
        <f t="shared" si="15"/>
        <v>#DIV/0!</v>
      </c>
      <c r="I18" s="204">
        <f t="shared" si="16"/>
        <v>-10</v>
      </c>
      <c r="J18" s="3">
        <f t="shared" si="17"/>
        <v>4</v>
      </c>
      <c r="K18" s="204">
        <f t="shared" si="18"/>
        <v>-190</v>
      </c>
      <c r="L18" s="3">
        <f t="shared" si="19"/>
        <v>2</v>
      </c>
      <c r="M18" s="204">
        <f t="shared" si="20"/>
        <v>-190</v>
      </c>
      <c r="N18" s="3">
        <f t="shared" si="21"/>
        <v>2</v>
      </c>
      <c r="O18" s="204">
        <f t="shared" si="22"/>
        <v>0</v>
      </c>
      <c r="P18" s="3">
        <f t="shared" si="23"/>
        <v>2</v>
      </c>
      <c r="Q18" s="204">
        <f t="shared" si="24"/>
        <v>20</v>
      </c>
      <c r="R18" s="1"/>
    </row>
    <row r="19" spans="1:18" ht="21.75" thickBot="1" x14ac:dyDescent="0.4">
      <c r="A19" s="113"/>
      <c r="B19" s="199"/>
      <c r="C19" s="194">
        <f t="shared" si="13"/>
        <v>-60</v>
      </c>
      <c r="D19" s="199"/>
      <c r="E19" s="84"/>
      <c r="F19" s="84" t="s">
        <v>125</v>
      </c>
      <c r="G19" s="1"/>
      <c r="H19" s="46" t="e">
        <f t="shared" si="15"/>
        <v>#DIV/0!</v>
      </c>
      <c r="I19" s="204">
        <f t="shared" si="16"/>
        <v>-10</v>
      </c>
      <c r="J19" s="3">
        <f t="shared" si="17"/>
        <v>4</v>
      </c>
      <c r="K19" s="204">
        <f t="shared" si="18"/>
        <v>-190</v>
      </c>
      <c r="L19" s="3">
        <f t="shared" si="19"/>
        <v>2</v>
      </c>
      <c r="M19" s="204">
        <f t="shared" si="20"/>
        <v>-190</v>
      </c>
      <c r="N19" s="3">
        <f t="shared" si="21"/>
        <v>2</v>
      </c>
      <c r="O19" s="204">
        <f t="shared" si="22"/>
        <v>0</v>
      </c>
      <c r="P19" s="3">
        <f t="shared" si="23"/>
        <v>2</v>
      </c>
      <c r="Q19" s="204">
        <f t="shared" si="24"/>
        <v>20</v>
      </c>
      <c r="R19" s="1"/>
    </row>
    <row r="20" spans="1:18" ht="21.75" thickBot="1" x14ac:dyDescent="0.4">
      <c r="A20" s="113"/>
      <c r="B20" s="199"/>
      <c r="C20" s="194">
        <f t="shared" si="13"/>
        <v>-60</v>
      </c>
      <c r="D20" s="199"/>
      <c r="E20" s="84"/>
      <c r="F20" s="84" t="s">
        <v>125</v>
      </c>
      <c r="G20" s="1"/>
      <c r="H20" s="46" t="e">
        <f t="shared" si="15"/>
        <v>#DIV/0!</v>
      </c>
      <c r="I20" s="204">
        <f t="shared" si="16"/>
        <v>-10</v>
      </c>
      <c r="J20" s="3">
        <f t="shared" si="17"/>
        <v>4</v>
      </c>
      <c r="K20" s="204">
        <f t="shared" si="18"/>
        <v>-190</v>
      </c>
      <c r="L20" s="3">
        <f t="shared" si="19"/>
        <v>2</v>
      </c>
      <c r="M20" s="204">
        <f t="shared" si="20"/>
        <v>-190</v>
      </c>
      <c r="N20" s="3">
        <f t="shared" si="21"/>
        <v>2</v>
      </c>
      <c r="O20" s="204">
        <f t="shared" si="22"/>
        <v>0</v>
      </c>
      <c r="P20" s="3">
        <f t="shared" si="23"/>
        <v>2</v>
      </c>
      <c r="Q20" s="204">
        <f t="shared" si="24"/>
        <v>20</v>
      </c>
      <c r="R20" s="1"/>
    </row>
    <row r="21" spans="1:18" ht="21.75" thickBot="1" x14ac:dyDescent="0.4">
      <c r="A21" s="113"/>
      <c r="B21" s="199"/>
      <c r="C21" s="194">
        <f t="shared" si="13"/>
        <v>-60</v>
      </c>
      <c r="D21" s="199"/>
      <c r="E21" s="84"/>
      <c r="F21" s="84" t="s">
        <v>125</v>
      </c>
      <c r="G21" s="1"/>
      <c r="H21" s="46" t="e">
        <f t="shared" si="15"/>
        <v>#DIV/0!</v>
      </c>
      <c r="I21" s="204">
        <f t="shared" si="16"/>
        <v>-10</v>
      </c>
      <c r="J21" s="3">
        <f t="shared" si="17"/>
        <v>4</v>
      </c>
      <c r="K21" s="204">
        <f t="shared" si="18"/>
        <v>-190</v>
      </c>
      <c r="L21" s="3">
        <f t="shared" si="19"/>
        <v>2</v>
      </c>
      <c r="M21" s="204">
        <f t="shared" si="20"/>
        <v>-190</v>
      </c>
      <c r="N21" s="3">
        <f t="shared" si="21"/>
        <v>2</v>
      </c>
      <c r="O21" s="204">
        <f t="shared" si="22"/>
        <v>0</v>
      </c>
      <c r="P21" s="3">
        <f t="shared" si="23"/>
        <v>2</v>
      </c>
      <c r="Q21" s="204">
        <f t="shared" si="24"/>
        <v>20</v>
      </c>
      <c r="R21" s="1"/>
    </row>
    <row r="22" spans="1:18" ht="21.75" thickBot="1" x14ac:dyDescent="0.4">
      <c r="A22" s="113"/>
      <c r="B22" s="199"/>
      <c r="C22" s="194">
        <f t="shared" si="13"/>
        <v>-60</v>
      </c>
      <c r="D22" s="199"/>
      <c r="E22" s="84"/>
      <c r="F22" s="84" t="s">
        <v>125</v>
      </c>
      <c r="G22" s="1"/>
      <c r="H22" s="46" t="e">
        <f t="shared" si="15"/>
        <v>#DIV/0!</v>
      </c>
      <c r="I22" s="204">
        <f t="shared" si="16"/>
        <v>-10</v>
      </c>
      <c r="J22" s="3">
        <f t="shared" si="17"/>
        <v>4</v>
      </c>
      <c r="K22" s="204">
        <f t="shared" si="18"/>
        <v>-190</v>
      </c>
      <c r="L22" s="3">
        <f t="shared" si="19"/>
        <v>2</v>
      </c>
      <c r="M22" s="204">
        <f t="shared" si="20"/>
        <v>-190</v>
      </c>
      <c r="N22" s="3">
        <f t="shared" si="21"/>
        <v>2</v>
      </c>
      <c r="O22" s="204">
        <f t="shared" si="22"/>
        <v>0</v>
      </c>
      <c r="P22" s="3">
        <f t="shared" si="23"/>
        <v>2</v>
      </c>
      <c r="Q22" s="204">
        <f t="shared" si="24"/>
        <v>20</v>
      </c>
      <c r="R22" s="1"/>
    </row>
    <row r="23" spans="1:18" ht="21.75" thickBot="1" x14ac:dyDescent="0.4">
      <c r="A23" s="287" t="s">
        <v>116</v>
      </c>
      <c r="B23" s="288"/>
      <c r="C23" s="288"/>
      <c r="D23" s="289"/>
      <c r="E23" s="56"/>
      <c r="F23" s="56"/>
      <c r="G23" s="1"/>
      <c r="H23" s="290" t="s">
        <v>105</v>
      </c>
      <c r="I23" s="291"/>
      <c r="J23" s="292" t="s">
        <v>106</v>
      </c>
      <c r="K23" s="293"/>
      <c r="L23" s="292" t="s">
        <v>107</v>
      </c>
      <c r="M23" s="293"/>
      <c r="N23" s="292" t="s">
        <v>117</v>
      </c>
      <c r="O23" s="293"/>
      <c r="P23" s="292" t="s">
        <v>118</v>
      </c>
      <c r="Q23" s="293"/>
      <c r="R23" s="1"/>
    </row>
    <row r="24" spans="1:18" ht="21" x14ac:dyDescent="0.35">
      <c r="A24" s="19" t="s">
        <v>113</v>
      </c>
      <c r="B24" s="19" t="s">
        <v>10</v>
      </c>
      <c r="C24" s="19" t="s">
        <v>83</v>
      </c>
      <c r="D24" s="19" t="s">
        <v>81</v>
      </c>
      <c r="E24" s="34" t="s">
        <v>108</v>
      </c>
      <c r="F24" s="34" t="s">
        <v>114</v>
      </c>
      <c r="G24" s="1"/>
      <c r="H24" s="4" t="s">
        <v>66</v>
      </c>
      <c r="I24" s="5" t="s">
        <v>68</v>
      </c>
      <c r="J24" s="4" t="s">
        <v>66</v>
      </c>
      <c r="K24" s="5" t="s">
        <v>68</v>
      </c>
      <c r="L24" s="4" t="s">
        <v>66</v>
      </c>
      <c r="M24" s="5" t="s">
        <v>68</v>
      </c>
      <c r="N24" s="4" t="s">
        <v>66</v>
      </c>
      <c r="O24" s="5" t="s">
        <v>68</v>
      </c>
      <c r="P24" s="4" t="s">
        <v>66</v>
      </c>
      <c r="Q24" s="5" t="s">
        <v>68</v>
      </c>
      <c r="R24" s="1"/>
    </row>
    <row r="25" spans="1:18" ht="21" x14ac:dyDescent="0.35">
      <c r="A25" s="110"/>
      <c r="B25" s="198"/>
      <c r="C25" s="189">
        <f>IF(F25="D",(B25-60)/2,B25-30)</f>
        <v>-30</v>
      </c>
      <c r="D25" s="201"/>
      <c r="E25" s="84"/>
      <c r="F25" s="84" t="s">
        <v>125</v>
      </c>
      <c r="G25" s="1"/>
      <c r="H25" s="45" t="e">
        <f t="shared" ref="H25:H28" si="25">IF(F25="D",(C25*2)/E25,C25/E25)</f>
        <v>#DIV/0!</v>
      </c>
      <c r="I25" s="203">
        <f t="shared" ref="I25:I28" si="26">SUM(D25-10)</f>
        <v>-10</v>
      </c>
      <c r="J25" s="4">
        <f t="shared" ref="J25:J28" si="27">IF(F25="D",4,2)</f>
        <v>4</v>
      </c>
      <c r="K25" s="203">
        <f>SUM(C25-80)</f>
        <v>-110</v>
      </c>
      <c r="L25" s="4">
        <f t="shared" ref="L25:L28" si="28">IF(F25="D",2,1)</f>
        <v>2</v>
      </c>
      <c r="M25" s="203">
        <f>SUM(C25-80)</f>
        <v>-110</v>
      </c>
      <c r="N25" s="4">
        <f t="shared" ref="N25:N28" si="29">IF(F25="D",2,1)</f>
        <v>2</v>
      </c>
      <c r="O25" s="203">
        <f>SUM(D25+20)</f>
        <v>20</v>
      </c>
      <c r="P25" s="4">
        <f t="shared" ref="P25:P28" si="30">IF(F25="D",2,1)</f>
        <v>2</v>
      </c>
      <c r="Q25" s="203">
        <f>SUM(D25+20)</f>
        <v>20</v>
      </c>
      <c r="R25" s="1"/>
    </row>
    <row r="26" spans="1:18" ht="0.75" customHeight="1" x14ac:dyDescent="0.35">
      <c r="A26" s="2"/>
      <c r="B26" s="2">
        <v>1550</v>
      </c>
      <c r="C26" s="2">
        <f t="shared" ref="C26:C28" si="31">IF(F26="D",(B26-60)/2,B26-30)</f>
        <v>745</v>
      </c>
      <c r="D26" s="2">
        <v>2100</v>
      </c>
      <c r="E26" s="34"/>
      <c r="F26" s="34" t="s">
        <v>88</v>
      </c>
      <c r="G26" s="1"/>
      <c r="H26" s="45" t="e">
        <f t="shared" si="25"/>
        <v>#DIV/0!</v>
      </c>
      <c r="I26" s="5">
        <f t="shared" si="26"/>
        <v>2090</v>
      </c>
      <c r="J26" s="4">
        <f t="shared" si="27"/>
        <v>4</v>
      </c>
      <c r="K26" s="5">
        <f t="shared" ref="K26:K28" si="32">SUM(C26-80)</f>
        <v>665</v>
      </c>
      <c r="L26" s="4">
        <f t="shared" si="28"/>
        <v>2</v>
      </c>
      <c r="M26" s="5">
        <f t="shared" ref="M26:M28" si="33">SUM(C26-80)</f>
        <v>665</v>
      </c>
      <c r="N26" s="4">
        <f t="shared" si="29"/>
        <v>2</v>
      </c>
      <c r="O26" s="5">
        <f t="shared" ref="O26:O28" si="34">SUM(D26)</f>
        <v>2100</v>
      </c>
      <c r="P26" s="4">
        <f t="shared" si="30"/>
        <v>2</v>
      </c>
      <c r="Q26" s="5">
        <f t="shared" ref="Q26:Q28" si="35">SUM(D26)</f>
        <v>2100</v>
      </c>
      <c r="R26" s="1"/>
    </row>
    <row r="27" spans="1:18" ht="21" hidden="1" x14ac:dyDescent="0.35">
      <c r="A27" s="2"/>
      <c r="B27" s="2">
        <v>2700</v>
      </c>
      <c r="C27" s="2">
        <f t="shared" si="31"/>
        <v>1320</v>
      </c>
      <c r="D27" s="2">
        <v>2100</v>
      </c>
      <c r="E27" s="34">
        <v>114</v>
      </c>
      <c r="F27" s="34" t="s">
        <v>88</v>
      </c>
      <c r="G27" s="1"/>
      <c r="H27" s="45">
        <f t="shared" si="25"/>
        <v>23.157894736842106</v>
      </c>
      <c r="I27" s="5">
        <f t="shared" si="26"/>
        <v>2090</v>
      </c>
      <c r="J27" s="4">
        <f t="shared" si="27"/>
        <v>4</v>
      </c>
      <c r="K27" s="5">
        <f t="shared" si="32"/>
        <v>1240</v>
      </c>
      <c r="L27" s="4">
        <f t="shared" si="28"/>
        <v>2</v>
      </c>
      <c r="M27" s="5">
        <f t="shared" si="33"/>
        <v>1240</v>
      </c>
      <c r="N27" s="4">
        <f t="shared" si="29"/>
        <v>2</v>
      </c>
      <c r="O27" s="5">
        <f t="shared" si="34"/>
        <v>2100</v>
      </c>
      <c r="P27" s="4">
        <f t="shared" si="30"/>
        <v>2</v>
      </c>
      <c r="Q27" s="5">
        <f t="shared" si="35"/>
        <v>2100</v>
      </c>
      <c r="R27" s="1"/>
    </row>
    <row r="28" spans="1:18" ht="21.75" hidden="1" thickBot="1" x14ac:dyDescent="0.4">
      <c r="A28" s="2"/>
      <c r="B28" s="2"/>
      <c r="C28" s="2">
        <f t="shared" si="31"/>
        <v>-30</v>
      </c>
      <c r="D28" s="2">
        <v>2100</v>
      </c>
      <c r="E28" s="34">
        <v>114</v>
      </c>
      <c r="F28" s="34" t="s">
        <v>88</v>
      </c>
      <c r="G28" s="1"/>
      <c r="H28" s="47">
        <f t="shared" si="25"/>
        <v>-0.52631578947368418</v>
      </c>
      <c r="I28" s="6">
        <f t="shared" si="26"/>
        <v>2090</v>
      </c>
      <c r="J28" s="48">
        <f t="shared" si="27"/>
        <v>4</v>
      </c>
      <c r="K28" s="6">
        <f t="shared" si="32"/>
        <v>-110</v>
      </c>
      <c r="L28" s="48">
        <f t="shared" si="28"/>
        <v>2</v>
      </c>
      <c r="M28" s="6">
        <f t="shared" si="33"/>
        <v>-110</v>
      </c>
      <c r="N28" s="48">
        <f t="shared" si="29"/>
        <v>2</v>
      </c>
      <c r="O28" s="6">
        <f t="shared" si="34"/>
        <v>2100</v>
      </c>
      <c r="P28" s="48">
        <f t="shared" si="30"/>
        <v>2</v>
      </c>
      <c r="Q28" s="6">
        <f t="shared" si="35"/>
        <v>2100</v>
      </c>
      <c r="R28" s="1"/>
    </row>
    <row r="29" spans="1:18" ht="21" x14ac:dyDescent="0.35">
      <c r="A29" s="1"/>
      <c r="B29" s="1"/>
      <c r="C29" s="1"/>
      <c r="D29" s="1"/>
      <c r="E29" s="56"/>
      <c r="F29" s="5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2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</sheetData>
  <mergeCells count="24">
    <mergeCell ref="A1:D1"/>
    <mergeCell ref="H1:K1"/>
    <mergeCell ref="A3:D3"/>
    <mergeCell ref="H3:I3"/>
    <mergeCell ref="J3:K3"/>
    <mergeCell ref="L3:M3"/>
    <mergeCell ref="A10:D10"/>
    <mergeCell ref="H10:I10"/>
    <mergeCell ref="J10:K10"/>
    <mergeCell ref="L10:M10"/>
    <mergeCell ref="N10:O10"/>
    <mergeCell ref="P10:Q10"/>
    <mergeCell ref="A15:F15"/>
    <mergeCell ref="A23:D23"/>
    <mergeCell ref="H23:I23"/>
    <mergeCell ref="J23:K23"/>
    <mergeCell ref="L23:M23"/>
    <mergeCell ref="N23:O23"/>
    <mergeCell ref="P23:Q23"/>
    <mergeCell ref="H14:I14"/>
    <mergeCell ref="J14:K14"/>
    <mergeCell ref="L14:M14"/>
    <mergeCell ref="N14:O14"/>
    <mergeCell ref="P14:Q14"/>
  </mergeCells>
  <dataValidations count="2">
    <dataValidation type="list" allowBlank="1" showInputMessage="1" showErrorMessage="1" sqref="E5:E9 E12:E14 E16:E22 E25" xr:uid="{033241DB-E542-4811-A2BB-C379BE2740F5}">
      <formula1>"114,125,140"</formula1>
    </dataValidation>
    <dataValidation type="list" allowBlank="1" showInputMessage="1" showErrorMessage="1" sqref="F12:F14 F16:F22 F25" xr:uid="{8219ABF0-914E-442E-B2A4-3B6DCCE46CCF}">
      <formula1>"S,D"</formula1>
    </dataValidation>
  </dataValidations>
  <pageMargins left="0.25" right="0.25" top="0.75" bottom="0.75" header="0.3" footer="0.3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7"/>
  <sheetViews>
    <sheetView topLeftCell="A9" workbookViewId="0">
      <selection activeCell="G27" sqref="G27"/>
    </sheetView>
  </sheetViews>
  <sheetFormatPr defaultColWidth="9.140625" defaultRowHeight="21" x14ac:dyDescent="0.35"/>
  <cols>
    <col min="1" max="1" width="12.5703125" style="1" customWidth="1"/>
    <col min="2" max="2" width="12.85546875" style="1" customWidth="1"/>
    <col min="3" max="3" width="16" style="1" customWidth="1"/>
    <col min="4" max="4" width="11.5703125" style="1" customWidth="1"/>
    <col min="5" max="5" width="12.28515625" style="1" customWidth="1"/>
    <col min="6" max="6" width="19.42578125" style="1" customWidth="1"/>
    <col min="7" max="7" width="16" style="1" customWidth="1"/>
    <col min="8" max="8" width="16.85546875" style="1" customWidth="1"/>
    <col min="9" max="9" width="18.42578125" style="1" customWidth="1"/>
    <col min="10" max="10" width="28.7109375" style="1" customWidth="1"/>
    <col min="11" max="11" width="21.42578125" style="1" customWidth="1"/>
    <col min="12" max="16384" width="9.140625" style="1"/>
  </cols>
  <sheetData>
    <row r="1" spans="1:11" ht="21.75" thickBot="1" x14ac:dyDescent="0.4">
      <c r="A1" s="114"/>
      <c r="B1" s="115" t="s">
        <v>33</v>
      </c>
      <c r="C1" s="115"/>
      <c r="D1" s="116"/>
      <c r="G1" s="307"/>
      <c r="K1" s="1" t="s">
        <v>13</v>
      </c>
    </row>
    <row r="2" spans="1:11" x14ac:dyDescent="0.35">
      <c r="A2" s="310" t="s">
        <v>130</v>
      </c>
      <c r="B2" s="311"/>
      <c r="C2" s="308" t="s">
        <v>28</v>
      </c>
      <c r="D2" s="309"/>
      <c r="E2" s="30"/>
      <c r="F2" s="2" t="s">
        <v>24</v>
      </c>
      <c r="G2" s="260"/>
      <c r="H2" s="2" t="s">
        <v>32</v>
      </c>
      <c r="I2" s="2" t="s">
        <v>34</v>
      </c>
      <c r="J2" s="2" t="s">
        <v>75</v>
      </c>
      <c r="K2" s="2" t="s">
        <v>77</v>
      </c>
    </row>
    <row r="3" spans="1:11" x14ac:dyDescent="0.35">
      <c r="A3" s="2" t="s">
        <v>35</v>
      </c>
      <c r="B3" s="2" t="s">
        <v>23</v>
      </c>
      <c r="C3" s="2" t="s">
        <v>10</v>
      </c>
      <c r="D3" s="2" t="s">
        <v>127</v>
      </c>
      <c r="E3" s="2" t="s">
        <v>29</v>
      </c>
      <c r="F3" s="2" t="s">
        <v>25</v>
      </c>
      <c r="G3" s="2" t="s">
        <v>31</v>
      </c>
      <c r="H3" s="2" t="s">
        <v>26</v>
      </c>
      <c r="I3" s="2" t="s">
        <v>27</v>
      </c>
      <c r="J3" s="35" t="s">
        <v>76</v>
      </c>
      <c r="K3" s="35" t="s">
        <v>76</v>
      </c>
    </row>
    <row r="4" spans="1:11" ht="21.75" thickBot="1" x14ac:dyDescent="0.4">
      <c r="A4" s="84"/>
      <c r="B4" s="198"/>
      <c r="C4" s="218"/>
      <c r="D4" s="85" t="s">
        <v>206</v>
      </c>
      <c r="E4" s="190" cm="1">
        <f t="array" ref="E4">_xlfn.IFS(D4="m",C4+400,D4="a",C4+800)</f>
        <v>800</v>
      </c>
      <c r="F4" s="26">
        <f>IF(E4&gt;6500,B4-116,B4)</f>
        <v>0</v>
      </c>
      <c r="G4" s="24">
        <f>IF(A4&gt;125,E4/140,E4/114)</f>
        <v>7.0175438596491224</v>
      </c>
      <c r="H4" s="189">
        <f>IF(E4&gt;6500,E4-10,0)</f>
        <v>0</v>
      </c>
      <c r="I4" s="189">
        <f>IF(E4&gt;6500,B4-115,B4+10)</f>
        <v>10</v>
      </c>
      <c r="J4" s="189">
        <f>IF(E4&gt;6500,E4-130,0)</f>
        <v>0</v>
      </c>
      <c r="K4" s="189">
        <f>IF(E4&lt;6500,E4-130)</f>
        <v>670</v>
      </c>
    </row>
    <row r="5" spans="1:11" ht="21.75" thickBot="1" x14ac:dyDescent="0.4">
      <c r="C5" s="32" t="s">
        <v>62</v>
      </c>
      <c r="D5" s="86" t="s">
        <v>207</v>
      </c>
      <c r="E5" s="219">
        <f>IF(D5="Y",(F4/1000-0.19)*(J4/1000),0)</f>
        <v>0</v>
      </c>
      <c r="F5" s="1" t="str">
        <f>IF(H4&gt;1,"HANDCUT","")</f>
        <v/>
      </c>
      <c r="G5" s="22"/>
    </row>
    <row r="6" spans="1:11" ht="8.25" customHeight="1" thickBot="1" x14ac:dyDescent="0.4">
      <c r="D6" s="21"/>
      <c r="G6" s="22"/>
    </row>
    <row r="7" spans="1:11" ht="21.75" thickBot="1" x14ac:dyDescent="0.4">
      <c r="A7" s="114" t="s">
        <v>38</v>
      </c>
      <c r="B7" s="115"/>
      <c r="C7" s="115"/>
      <c r="D7" s="116"/>
      <c r="E7" s="116"/>
      <c r="F7" s="1" t="s">
        <v>39</v>
      </c>
      <c r="G7" s="22"/>
      <c r="J7" s="1" t="s">
        <v>13</v>
      </c>
    </row>
    <row r="8" spans="1:11" x14ac:dyDescent="0.35">
      <c r="A8" s="19" t="s">
        <v>35</v>
      </c>
      <c r="B8" s="19" t="s">
        <v>23</v>
      </c>
      <c r="C8" s="19" t="s">
        <v>10</v>
      </c>
      <c r="D8" s="19" t="s">
        <v>30</v>
      </c>
      <c r="E8" s="19" t="s">
        <v>29</v>
      </c>
      <c r="F8" s="2" t="s">
        <v>25</v>
      </c>
      <c r="G8" s="2" t="s">
        <v>31</v>
      </c>
      <c r="H8" s="2" t="s">
        <v>37</v>
      </c>
      <c r="I8" s="2" t="s">
        <v>27</v>
      </c>
      <c r="J8" s="2" t="s">
        <v>70</v>
      </c>
    </row>
    <row r="9" spans="1:11" ht="21.75" thickBot="1" x14ac:dyDescent="0.4">
      <c r="A9" s="84"/>
      <c r="B9" s="191"/>
      <c r="C9" s="192"/>
      <c r="D9" s="85" t="s">
        <v>206</v>
      </c>
      <c r="E9" s="190">
        <f>IF(D9="M",C9+2300,C9+2200)</f>
        <v>2200</v>
      </c>
      <c r="F9" s="189">
        <f>SUM(B9-135)</f>
        <v>-135</v>
      </c>
      <c r="G9" s="24">
        <f>INT(IF(A9&gt;125,J9/140,J9/114))</f>
        <v>2</v>
      </c>
      <c r="H9" s="189">
        <f>SUM(E9)</f>
        <v>2200</v>
      </c>
      <c r="I9" s="189">
        <f>SUM(B9-125)</f>
        <v>-125</v>
      </c>
      <c r="J9" s="189">
        <f>SUM(E9-1930)</f>
        <v>270</v>
      </c>
    </row>
    <row r="10" spans="1:11" ht="21.75" thickBot="1" x14ac:dyDescent="0.4">
      <c r="C10" s="32" t="s">
        <v>62</v>
      </c>
      <c r="D10" s="86" t="s">
        <v>207</v>
      </c>
      <c r="E10" s="219">
        <f>IF(D10="Y",(F9/1000-0.19)*(J9/1000),0)</f>
        <v>0</v>
      </c>
    </row>
    <row r="11" spans="1:11" ht="13.5" customHeight="1" thickBot="1" x14ac:dyDescent="0.4"/>
    <row r="12" spans="1:11" ht="21.75" thickBot="1" x14ac:dyDescent="0.4">
      <c r="A12" s="7" t="s">
        <v>54</v>
      </c>
      <c r="B12" s="8"/>
      <c r="C12" s="9"/>
    </row>
    <row r="13" spans="1:11" ht="21.75" thickBot="1" x14ac:dyDescent="0.4">
      <c r="A13" s="19" t="s">
        <v>55</v>
      </c>
      <c r="B13" s="19" t="s">
        <v>56</v>
      </c>
      <c r="C13" s="19" t="s">
        <v>58</v>
      </c>
      <c r="D13" s="2">
        <v>358</v>
      </c>
      <c r="E13" s="268" t="s">
        <v>57</v>
      </c>
      <c r="F13" s="264"/>
    </row>
    <row r="14" spans="1:11" ht="21.75" thickBot="1" x14ac:dyDescent="0.4">
      <c r="A14" s="221">
        <f>SUM(B4/1000*0.881*G4)</f>
        <v>0</v>
      </c>
      <c r="B14" s="221">
        <f>SUM(H4/1000*8.96)+(J4/1000*3.13*2)</f>
        <v>0</v>
      </c>
      <c r="C14" s="221">
        <f>SUM(I4/1000*4.78*2)+(K4/1000*3.13*3)</f>
        <v>6.3869000000000007</v>
      </c>
      <c r="D14" s="221">
        <f>SUM(E5*8.92)</f>
        <v>0</v>
      </c>
      <c r="F14" s="220">
        <f>SUM(A14+B14+C14+D14+10)</f>
        <v>16.386900000000001</v>
      </c>
    </row>
    <row r="15" spans="1:11" ht="21.75" thickBot="1" x14ac:dyDescent="0.4">
      <c r="A15" s="7" t="s">
        <v>59</v>
      </c>
      <c r="B15" s="8"/>
      <c r="C15" s="9"/>
    </row>
    <row r="16" spans="1:11" ht="21.75" thickBot="1" x14ac:dyDescent="0.4">
      <c r="A16" s="19" t="s">
        <v>55</v>
      </c>
      <c r="B16" s="19" t="s">
        <v>60</v>
      </c>
      <c r="C16" s="19" t="s">
        <v>61</v>
      </c>
      <c r="D16" s="2">
        <v>358</v>
      </c>
      <c r="E16" s="268" t="s">
        <v>57</v>
      </c>
      <c r="F16" s="264"/>
    </row>
    <row r="17" spans="1:17" ht="21.75" thickBot="1" x14ac:dyDescent="0.4">
      <c r="A17" s="221">
        <f>SUM(F9/1000*G9*0.881)</f>
        <v>-0.23787000000000003</v>
      </c>
      <c r="B17" s="221">
        <f>SUM(H9/1000*11.7)</f>
        <v>25.740000000000002</v>
      </c>
      <c r="C17" s="221">
        <f>SUM(J9/1000*3.13*3)+(I9/1000*4.78*2)</f>
        <v>1.3403000000000003</v>
      </c>
      <c r="D17" s="221">
        <f>SUM(E10*8.92)</f>
        <v>0</v>
      </c>
      <c r="F17" s="220">
        <f>SUM(A17+B17+C17+D17+10)</f>
        <v>36.84243</v>
      </c>
    </row>
    <row r="18" spans="1:17" ht="12" customHeight="1" x14ac:dyDescent="0.35"/>
    <row r="19" spans="1:17" x14ac:dyDescent="0.35">
      <c r="A19" s="306" t="s">
        <v>78</v>
      </c>
      <c r="B19" s="306"/>
      <c r="C19" s="306"/>
      <c r="D19" s="306"/>
      <c r="E19" s="306"/>
      <c r="F19" s="1" t="s">
        <v>39</v>
      </c>
      <c r="J19" s="1" t="s">
        <v>13</v>
      </c>
    </row>
    <row r="20" spans="1:17" x14ac:dyDescent="0.35">
      <c r="A20" s="2" t="s">
        <v>35</v>
      </c>
      <c r="B20" s="2" t="s">
        <v>23</v>
      </c>
      <c r="C20" s="2" t="s">
        <v>10</v>
      </c>
      <c r="D20" s="2" t="s">
        <v>30</v>
      </c>
      <c r="E20" s="2" t="s">
        <v>29</v>
      </c>
      <c r="F20" s="2" t="s">
        <v>25</v>
      </c>
      <c r="G20" s="2" t="s">
        <v>31</v>
      </c>
      <c r="H20" s="2" t="s">
        <v>37</v>
      </c>
      <c r="I20" s="2" t="s">
        <v>27</v>
      </c>
      <c r="J20" s="2" t="s">
        <v>70</v>
      </c>
      <c r="K20"/>
    </row>
    <row r="21" spans="1:17" ht="21.75" thickBot="1" x14ac:dyDescent="0.4">
      <c r="A21" s="84">
        <v>125</v>
      </c>
      <c r="B21" s="198"/>
      <c r="C21" s="198"/>
      <c r="D21" s="85" t="s">
        <v>206</v>
      </c>
      <c r="E21" s="189">
        <f>SUM(C21+1000)</f>
        <v>1000</v>
      </c>
      <c r="F21" s="189">
        <f>SUM(B21-100)</f>
        <v>-100</v>
      </c>
      <c r="G21" s="2">
        <f>INT(J21/A21)</f>
        <v>1</v>
      </c>
      <c r="H21" s="189">
        <f>SUM(E21-5)</f>
        <v>995</v>
      </c>
      <c r="I21" s="189">
        <f>SUM(B21-85)</f>
        <v>-85</v>
      </c>
      <c r="J21" s="189">
        <f>SUM(C21+170)</f>
        <v>170</v>
      </c>
    </row>
    <row r="22" spans="1:17" ht="21.75" thickBot="1" x14ac:dyDescent="0.4">
      <c r="C22" s="2" t="s">
        <v>62</v>
      </c>
      <c r="D22" s="86" t="s">
        <v>207</v>
      </c>
      <c r="E22" s="221">
        <v>3.0226999999999999</v>
      </c>
    </row>
    <row r="23" spans="1:17" ht="11.25" customHeight="1" thickBot="1" x14ac:dyDescent="0.4"/>
    <row r="24" spans="1:17" ht="21.75" thickBot="1" x14ac:dyDescent="0.4">
      <c r="A24" s="303" t="s">
        <v>200</v>
      </c>
      <c r="B24" s="304"/>
      <c r="C24" s="304"/>
      <c r="D24" s="304"/>
      <c r="E24" s="305"/>
      <c r="F24" s="1" t="s">
        <v>39</v>
      </c>
      <c r="G24" s="22"/>
      <c r="J24" s="1" t="s">
        <v>13</v>
      </c>
    </row>
    <row r="25" spans="1:17" x14ac:dyDescent="0.35">
      <c r="A25" s="19" t="s">
        <v>35</v>
      </c>
      <c r="B25" s="19" t="s">
        <v>23</v>
      </c>
      <c r="C25" s="19" t="s">
        <v>10</v>
      </c>
      <c r="D25" s="19" t="s">
        <v>30</v>
      </c>
      <c r="E25" s="19" t="s">
        <v>29</v>
      </c>
      <c r="F25" s="2" t="s">
        <v>25</v>
      </c>
      <c r="G25" s="2" t="s">
        <v>31</v>
      </c>
      <c r="H25" s="2" t="s">
        <v>37</v>
      </c>
      <c r="I25" s="2" t="s">
        <v>27</v>
      </c>
      <c r="J25" s="2" t="s">
        <v>70</v>
      </c>
      <c r="Q25" s="22"/>
    </row>
    <row r="26" spans="1:17" ht="21.75" thickBot="1" x14ac:dyDescent="0.4">
      <c r="A26" s="84"/>
      <c r="B26" s="191"/>
      <c r="C26" s="192"/>
      <c r="D26" s="85" t="s">
        <v>206</v>
      </c>
      <c r="E26" s="190">
        <f>IF(D26="M",C26+2000,C26+1900)</f>
        <v>1900</v>
      </c>
      <c r="F26" s="189">
        <f>SUM(B26-135)</f>
        <v>-135</v>
      </c>
      <c r="G26" s="24">
        <f>IF(A26&gt;125,J26/140,J26/114)</f>
        <v>1.4912280701754386</v>
      </c>
      <c r="H26" s="189">
        <f>SUM(E26)</f>
        <v>1900</v>
      </c>
      <c r="I26" s="189">
        <f>SUM(B26-125)</f>
        <v>-125</v>
      </c>
      <c r="J26" s="189">
        <f>SUM(E26-1730)</f>
        <v>170</v>
      </c>
    </row>
    <row r="27" spans="1:17" ht="21.75" thickBot="1" x14ac:dyDescent="0.4">
      <c r="C27" s="32" t="s">
        <v>62</v>
      </c>
      <c r="D27" s="86" t="s">
        <v>208</v>
      </c>
      <c r="E27" s="219">
        <f>IF(D27="Y",(F26/1000-0.19)*(J26/1000),0)</f>
        <v>-5.5250000000000007E-2</v>
      </c>
    </row>
  </sheetData>
  <mergeCells count="7">
    <mergeCell ref="A24:E24"/>
    <mergeCell ref="A19:E19"/>
    <mergeCell ref="E16:F16"/>
    <mergeCell ref="G1:G2"/>
    <mergeCell ref="E13:F13"/>
    <mergeCell ref="C2:D2"/>
    <mergeCell ref="A2:B2"/>
  </mergeCells>
  <dataValidations count="3">
    <dataValidation type="list" allowBlank="1" showInputMessage="1" showErrorMessage="1" sqref="D10 D22 D27 D5" xr:uid="{5BC47D8F-381D-4CA6-8A94-1F6ABBD87F87}">
      <formula1>"Y,N"</formula1>
    </dataValidation>
    <dataValidation type="list" allowBlank="1" showInputMessage="1" showErrorMessage="1" sqref="D9 D21 D26 D4" xr:uid="{960682BB-BD79-42F2-9C52-008E0E780100}">
      <formula1>"A,M"</formula1>
    </dataValidation>
    <dataValidation type="list" allowBlank="1" showInputMessage="1" showErrorMessage="1" sqref="A4 A9 A21 A26" xr:uid="{5B0FA995-2869-461C-91B2-54619C9CBA4F}">
      <formula1>"114,125,140"</formula1>
    </dataValidation>
  </dataValidations>
  <pageMargins left="0.25" right="0.25" top="0.75" bottom="0.75" header="0.3" footer="0.3"/>
  <pageSetup paperSize="9" scale="7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8"/>
  <sheetViews>
    <sheetView workbookViewId="0">
      <selection activeCell="J9" sqref="J9"/>
    </sheetView>
  </sheetViews>
  <sheetFormatPr defaultColWidth="9.140625" defaultRowHeight="21" x14ac:dyDescent="0.35"/>
  <cols>
    <col min="1" max="1" width="18.5703125" style="1" customWidth="1"/>
    <col min="2" max="2" width="15.28515625" style="1" customWidth="1"/>
    <col min="3" max="3" width="15.85546875" style="1" customWidth="1"/>
    <col min="4" max="4" width="17.28515625" style="1" customWidth="1"/>
    <col min="5" max="5" width="19.28515625" style="1" customWidth="1"/>
    <col min="6" max="6" width="19.42578125" style="1" customWidth="1"/>
    <col min="7" max="7" width="16.7109375" style="1" customWidth="1"/>
    <col min="8" max="8" width="16.5703125" style="1" customWidth="1"/>
    <col min="9" max="9" width="29" style="1" customWidth="1"/>
    <col min="10" max="10" width="28" style="1" customWidth="1"/>
    <col min="11" max="16384" width="9.140625" style="1"/>
  </cols>
  <sheetData>
    <row r="1" spans="1:5" ht="21.75" thickBot="1" x14ac:dyDescent="0.4">
      <c r="A1" s="303" t="s">
        <v>33</v>
      </c>
      <c r="B1" s="304"/>
      <c r="C1" s="304"/>
      <c r="D1" s="305"/>
    </row>
    <row r="2" spans="1:5" ht="21.75" thickBot="1" x14ac:dyDescent="0.4">
      <c r="A2" s="31"/>
      <c r="B2" s="30"/>
      <c r="C2" s="251" t="s">
        <v>28</v>
      </c>
      <c r="D2" s="253"/>
      <c r="E2" s="30"/>
    </row>
    <row r="3" spans="1:5" ht="21.75" thickBot="1" x14ac:dyDescent="0.4">
      <c r="A3" s="2" t="s">
        <v>35</v>
      </c>
      <c r="B3" s="2" t="s">
        <v>23</v>
      </c>
      <c r="C3" s="19" t="s">
        <v>10</v>
      </c>
      <c r="D3" s="19" t="s">
        <v>30</v>
      </c>
      <c r="E3" s="2" t="s">
        <v>29</v>
      </c>
    </row>
    <row r="4" spans="1:5" ht="21.75" thickBot="1" x14ac:dyDescent="0.4">
      <c r="A4" s="117">
        <v>135</v>
      </c>
      <c r="B4" s="218"/>
      <c r="C4" s="218"/>
      <c r="D4" s="118" t="s">
        <v>206</v>
      </c>
      <c r="E4" s="190">
        <f>IF(D4="A",C4+800,C4+600)</f>
        <v>800</v>
      </c>
    </row>
    <row r="5" spans="1:5" ht="21.75" thickBot="1" x14ac:dyDescent="0.4">
      <c r="A5" s="320" t="s">
        <v>128</v>
      </c>
      <c r="B5" s="321"/>
      <c r="C5" s="321"/>
      <c r="D5" s="321"/>
      <c r="E5" s="322"/>
    </row>
    <row r="6" spans="1:5" x14ac:dyDescent="0.35">
      <c r="A6" s="119" t="s">
        <v>24</v>
      </c>
      <c r="B6" s="67"/>
      <c r="C6" s="326" t="s">
        <v>202</v>
      </c>
      <c r="D6" s="327"/>
      <c r="E6" s="119" t="s">
        <v>72</v>
      </c>
    </row>
    <row r="7" spans="1:5" x14ac:dyDescent="0.35">
      <c r="A7" s="66" t="s">
        <v>25</v>
      </c>
      <c r="B7" s="66" t="s">
        <v>31</v>
      </c>
      <c r="C7" s="328" t="s">
        <v>71</v>
      </c>
      <c r="D7" s="329"/>
      <c r="E7" s="66" t="s">
        <v>71</v>
      </c>
    </row>
    <row r="8" spans="1:5" x14ac:dyDescent="0.35">
      <c r="A8" s="222">
        <f>SUM(E8-10)</f>
        <v>-35</v>
      </c>
      <c r="B8" s="68">
        <f>SUM(E4-200)/A4</f>
        <v>4.4444444444444446</v>
      </c>
      <c r="C8" s="330">
        <f>SUM(E4-200)</f>
        <v>600</v>
      </c>
      <c r="D8" s="331"/>
      <c r="E8" s="222">
        <f>SUM(B4-25)</f>
        <v>-25</v>
      </c>
    </row>
    <row r="9" spans="1:5" ht="9" customHeight="1" thickBot="1" x14ac:dyDescent="0.4">
      <c r="A9" s="120"/>
      <c r="B9" s="121"/>
      <c r="C9" s="122"/>
      <c r="D9" s="122"/>
      <c r="E9" s="123"/>
    </row>
    <row r="10" spans="1:5" ht="21.75" thickBot="1" x14ac:dyDescent="0.4">
      <c r="A10" s="323" t="s">
        <v>129</v>
      </c>
      <c r="B10" s="324"/>
      <c r="C10" s="324"/>
      <c r="D10" s="324"/>
      <c r="E10" s="325"/>
    </row>
    <row r="11" spans="1:5" x14ac:dyDescent="0.35">
      <c r="A11" s="19" t="s">
        <v>24</v>
      </c>
      <c r="B11" s="30"/>
      <c r="C11" s="315" t="s">
        <v>202</v>
      </c>
      <c r="D11" s="316"/>
      <c r="E11" s="19" t="s">
        <v>72</v>
      </c>
    </row>
    <row r="12" spans="1:5" x14ac:dyDescent="0.35">
      <c r="A12" s="2" t="s">
        <v>25</v>
      </c>
      <c r="B12" s="2" t="s">
        <v>31</v>
      </c>
      <c r="C12" s="317" t="s">
        <v>71</v>
      </c>
      <c r="D12" s="263"/>
      <c r="E12" s="2" t="s">
        <v>71</v>
      </c>
    </row>
    <row r="13" spans="1:5" x14ac:dyDescent="0.35">
      <c r="A13" s="222">
        <f>SUM(E13-10)</f>
        <v>0</v>
      </c>
      <c r="B13" s="24">
        <f>SUM(E4-200)/A4</f>
        <v>4.4444444444444446</v>
      </c>
      <c r="C13" s="318">
        <f>SUM(E4-200)</f>
        <v>600</v>
      </c>
      <c r="D13" s="319"/>
      <c r="E13" s="189">
        <f>SUM(B4+10)</f>
        <v>10</v>
      </c>
    </row>
    <row r="14" spans="1:5" ht="9.75" customHeight="1" thickBot="1" x14ac:dyDescent="0.4"/>
    <row r="15" spans="1:5" x14ac:dyDescent="0.35">
      <c r="A15" s="128" t="s">
        <v>73</v>
      </c>
      <c r="B15" s="223">
        <f>SUM(A8*0.000881)*B8</f>
        <v>-0.13704444444444444</v>
      </c>
      <c r="C15" s="223">
        <f>SUM(0.00896)</f>
        <v>8.9599999999999992E-3</v>
      </c>
      <c r="D15" s="223">
        <f>SUM(C8*0.00896)*2</f>
        <v>10.751999999999999</v>
      </c>
      <c r="E15" s="224">
        <f>SUM(E8*0.00896)*2</f>
        <v>-0.44799999999999995</v>
      </c>
    </row>
    <row r="16" spans="1:5" ht="21.75" thickBot="1" x14ac:dyDescent="0.4">
      <c r="A16" s="13"/>
      <c r="B16" s="14"/>
      <c r="C16" s="14"/>
      <c r="D16" s="127" t="s">
        <v>74</v>
      </c>
      <c r="E16" s="225">
        <f>SUM(B15+C15+D15+E15+10)</f>
        <v>20.175915555555555</v>
      </c>
    </row>
    <row r="17" spans="1:9" ht="9.75" customHeight="1" thickBot="1" x14ac:dyDescent="0.4"/>
    <row r="18" spans="1:9" ht="21.75" thickBot="1" x14ac:dyDescent="0.4">
      <c r="A18" s="124" t="s">
        <v>225</v>
      </c>
      <c r="B18" s="125"/>
      <c r="C18" s="125"/>
      <c r="D18" s="126"/>
      <c r="E18" s="1" t="s">
        <v>39</v>
      </c>
      <c r="F18" s="151" t="s">
        <v>253</v>
      </c>
      <c r="G18" s="22"/>
    </row>
    <row r="19" spans="1:9" x14ac:dyDescent="0.35">
      <c r="A19" s="19" t="s">
        <v>35</v>
      </c>
      <c r="B19" s="19" t="s">
        <v>23</v>
      </c>
      <c r="C19" s="19" t="s">
        <v>10</v>
      </c>
      <c r="D19" s="19" t="s">
        <v>29</v>
      </c>
      <c r="E19" s="2" t="s">
        <v>25</v>
      </c>
      <c r="F19" s="2" t="s">
        <v>31</v>
      </c>
      <c r="G19" s="2" t="s">
        <v>37</v>
      </c>
      <c r="H19" s="2" t="s">
        <v>71</v>
      </c>
      <c r="I19" s="2" t="s">
        <v>224</v>
      </c>
    </row>
    <row r="20" spans="1:9" ht="21.75" thickBot="1" x14ac:dyDescent="0.4">
      <c r="A20" s="84">
        <v>135</v>
      </c>
      <c r="B20" s="191"/>
      <c r="C20" s="192"/>
      <c r="D20" s="190">
        <f>SUM(C20+2300)</f>
        <v>2300</v>
      </c>
      <c r="E20" s="189">
        <f>SUM(H20-95)</f>
        <v>-300</v>
      </c>
      <c r="F20" s="24">
        <f>SUM(I20/A20)</f>
        <v>0.7407407407407407</v>
      </c>
      <c r="G20" s="189">
        <f>SUM(D20)</f>
        <v>2300</v>
      </c>
      <c r="H20" s="189">
        <f>SUM(B20-205)</f>
        <v>-205</v>
      </c>
      <c r="I20" s="189">
        <f>SUM(D20-2200)</f>
        <v>100</v>
      </c>
    </row>
    <row r="21" spans="1:9" ht="21.75" thickBot="1" x14ac:dyDescent="0.4">
      <c r="C21" s="32" t="s">
        <v>62</v>
      </c>
      <c r="D21" s="86" t="s">
        <v>207</v>
      </c>
      <c r="E21" s="219">
        <f>IF(D21="Y",(E20/1000-0.19)*(I20/1000),0)</f>
        <v>0</v>
      </c>
    </row>
    <row r="22" spans="1:9" ht="10.5" customHeight="1" thickBot="1" x14ac:dyDescent="0.4"/>
    <row r="23" spans="1:9" ht="21.75" thickBot="1" x14ac:dyDescent="0.4">
      <c r="A23" s="312" t="s">
        <v>59</v>
      </c>
      <c r="B23" s="313"/>
      <c r="C23" s="314"/>
    </row>
    <row r="24" spans="1:9" ht="21.75" thickBot="1" x14ac:dyDescent="0.4">
      <c r="A24" s="19" t="s">
        <v>55</v>
      </c>
      <c r="B24" s="19" t="s">
        <v>60</v>
      </c>
      <c r="C24" s="19" t="s">
        <v>61</v>
      </c>
      <c r="D24" s="2">
        <v>358</v>
      </c>
      <c r="E24" s="268" t="s">
        <v>57</v>
      </c>
      <c r="F24" s="264"/>
    </row>
    <row r="25" spans="1:9" ht="21.75" thickBot="1" x14ac:dyDescent="0.4">
      <c r="A25" s="221">
        <f>SUM(B20/1000*F20*0.881)</f>
        <v>0</v>
      </c>
      <c r="B25" s="221">
        <f>SUM(G20*22.4)/1000</f>
        <v>51.52</v>
      </c>
      <c r="C25" s="221">
        <f>SUM((I20*8.96*3)+(H20*2*8.96))/1000</f>
        <v>-0.98559999999999992</v>
      </c>
      <c r="D25" s="221">
        <f>SUM(E21*8.92)</f>
        <v>0</v>
      </c>
      <c r="F25" s="220">
        <f>SUM(A25+B25+C25+D25+10)</f>
        <v>60.534400000000005</v>
      </c>
    </row>
    <row r="28" spans="1:9" x14ac:dyDescent="0.35">
      <c r="E28" s="307"/>
      <c r="F28" s="307"/>
    </row>
  </sheetData>
  <mergeCells count="13">
    <mergeCell ref="E24:F24"/>
    <mergeCell ref="E28:F28"/>
    <mergeCell ref="A1:D1"/>
    <mergeCell ref="A23:C23"/>
    <mergeCell ref="C11:D11"/>
    <mergeCell ref="C12:D12"/>
    <mergeCell ref="C13:D13"/>
    <mergeCell ref="C2:D2"/>
    <mergeCell ref="A5:E5"/>
    <mergeCell ref="A10:E10"/>
    <mergeCell ref="C6:D6"/>
    <mergeCell ref="C7:D7"/>
    <mergeCell ref="C8:D8"/>
  </mergeCells>
  <dataValidations count="3">
    <dataValidation type="list" allowBlank="1" showInputMessage="1" showErrorMessage="1" sqref="D4" xr:uid="{9E49FDA2-3CD6-4BBE-9DE5-330E0F6EBDA8}">
      <formula1>"M,A"</formula1>
    </dataValidation>
    <dataValidation type="list" allowBlank="1" showInputMessage="1" showErrorMessage="1" sqref="D21" xr:uid="{4490DB0E-4D18-4EFF-9F35-E5A3EBD21E4D}">
      <formula1>"Y,N"</formula1>
    </dataValidation>
    <dataValidation type="list" allowBlank="1" showInputMessage="1" showErrorMessage="1" sqref="A20 A4" xr:uid="{0DB41C8F-8309-49D9-B4CA-0DAFB07E090F}">
      <formula1>"135"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4CA0-C2F1-44A9-A50F-653603D38962}">
  <dimension ref="A1:N4"/>
  <sheetViews>
    <sheetView workbookViewId="0">
      <selection activeCell="J12" sqref="J12"/>
    </sheetView>
  </sheetViews>
  <sheetFormatPr defaultRowHeight="21" x14ac:dyDescent="0.35"/>
  <cols>
    <col min="1" max="1" width="9.140625" style="1"/>
    <col min="2" max="2" width="14" style="1" customWidth="1"/>
    <col min="3" max="3" width="11.28515625" style="1" customWidth="1"/>
    <col min="4" max="4" width="12.28515625" style="1" customWidth="1"/>
    <col min="5" max="5" width="15.5703125" style="1" customWidth="1"/>
    <col min="6" max="6" width="2.42578125" style="1" customWidth="1"/>
    <col min="7" max="7" width="7.5703125" style="1" customWidth="1"/>
    <col min="8" max="8" width="19.5703125" style="1" customWidth="1"/>
    <col min="9" max="9" width="6.42578125" style="1" customWidth="1"/>
    <col min="10" max="10" width="24.42578125" style="1" customWidth="1"/>
    <col min="11" max="11" width="7.5703125" style="1" customWidth="1"/>
    <col min="12" max="12" width="25.28515625" style="1" customWidth="1"/>
    <col min="13" max="16384" width="9.140625" style="1"/>
  </cols>
  <sheetData>
    <row r="1" spans="1:14" ht="21.75" thickBot="1" x14ac:dyDescent="0.4">
      <c r="A1" s="333" t="s">
        <v>242</v>
      </c>
      <c r="B1" s="334"/>
      <c r="C1" s="334"/>
      <c r="D1" s="334"/>
      <c r="E1" s="334"/>
      <c r="F1" s="334"/>
      <c r="G1" s="334"/>
      <c r="H1" s="335"/>
      <c r="I1" s="334"/>
      <c r="J1" s="335"/>
      <c r="K1" s="334"/>
      <c r="L1" s="336"/>
      <c r="N1"/>
    </row>
    <row r="2" spans="1:14" x14ac:dyDescent="0.35">
      <c r="A2" s="332"/>
      <c r="B2" s="268"/>
      <c r="C2" s="268"/>
      <c r="D2" s="268"/>
      <c r="E2" s="268"/>
      <c r="F2" s="268"/>
      <c r="G2" s="317"/>
      <c r="H2" s="142" t="s">
        <v>244</v>
      </c>
      <c r="I2" s="144"/>
      <c r="J2" s="142" t="s">
        <v>133</v>
      </c>
      <c r="K2" s="144"/>
      <c r="L2" s="142" t="s">
        <v>245</v>
      </c>
    </row>
    <row r="3" spans="1:14" ht="21.75" thickBot="1" x14ac:dyDescent="0.4">
      <c r="A3" s="11" t="s">
        <v>246</v>
      </c>
      <c r="B3" s="2" t="s">
        <v>10</v>
      </c>
      <c r="C3" s="2" t="s">
        <v>243</v>
      </c>
      <c r="D3" s="2" t="s">
        <v>35</v>
      </c>
      <c r="E3" s="2" t="s">
        <v>83</v>
      </c>
      <c r="F3" s="268"/>
      <c r="G3" s="50" t="s">
        <v>66</v>
      </c>
      <c r="H3" s="143" t="s">
        <v>71</v>
      </c>
      <c r="I3" s="144" t="s">
        <v>66</v>
      </c>
      <c r="J3" s="143" t="s">
        <v>71</v>
      </c>
      <c r="K3" s="144" t="s">
        <v>66</v>
      </c>
      <c r="L3" s="143" t="s">
        <v>24</v>
      </c>
    </row>
    <row r="4" spans="1:14" ht="21.75" thickBot="1" x14ac:dyDescent="0.4">
      <c r="A4" s="141">
        <v>2</v>
      </c>
      <c r="B4" s="226"/>
      <c r="C4" s="226"/>
      <c r="D4" s="90">
        <v>125</v>
      </c>
      <c r="E4" s="227" cm="1">
        <f t="array" ref="E4">_xlfn.IFS(A4=2,(B4/2)+600,A4=3,(B4/3)+550)</f>
        <v>600</v>
      </c>
      <c r="F4" s="337"/>
      <c r="G4" s="89" cm="1">
        <f t="array" ref="G4">_xlfn.IFS(A4=2,6,3,9)</f>
        <v>6</v>
      </c>
      <c r="H4" s="206">
        <f>SUM(E4-200)</f>
        <v>400</v>
      </c>
      <c r="I4" s="89" cm="1">
        <f t="array" ref="I4">_xlfn.IFS(C4=2,4,3,6)</f>
        <v>6</v>
      </c>
      <c r="J4" s="206">
        <f>SUM(C4+10)</f>
        <v>10</v>
      </c>
      <c r="K4" s="140" cm="1">
        <f t="array" ref="K4">_xlfn.IFS(A4=2,(H4/D4)*2,A4=3,(H4/D4)*3)</f>
        <v>6.4</v>
      </c>
      <c r="L4" s="228">
        <f>SUM(J4-10)</f>
        <v>0</v>
      </c>
    </row>
  </sheetData>
  <mergeCells count="3">
    <mergeCell ref="A2:G2"/>
    <mergeCell ref="A1:L1"/>
    <mergeCell ref="F3:F4"/>
  </mergeCells>
  <dataValidations count="2">
    <dataValidation type="list" allowBlank="1" showInputMessage="1" showErrorMessage="1" sqref="D4" xr:uid="{DF9DE888-81E5-4FF1-A7BD-AE9EFA34BC04}">
      <formula1>"114,125,140"</formula1>
    </dataValidation>
    <dataValidation type="list" allowBlank="1" showInputMessage="1" showErrorMessage="1" sqref="A4" xr:uid="{833B90B8-7652-4585-87F8-EA1AE1622586}">
      <formula1>"2,3"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1ADB-A6A0-445D-861F-FCEF7057C1D3}">
  <dimension ref="A1:R23"/>
  <sheetViews>
    <sheetView workbookViewId="0">
      <selection activeCell="B14" sqref="B14"/>
    </sheetView>
  </sheetViews>
  <sheetFormatPr defaultRowHeight="15" x14ac:dyDescent="0.25"/>
  <cols>
    <col min="1" max="1" width="13.85546875" customWidth="1"/>
    <col min="2" max="2" width="12.42578125" customWidth="1"/>
    <col min="3" max="3" width="14.7109375" customWidth="1"/>
    <col min="4" max="4" width="41.7109375" customWidth="1"/>
    <col min="5" max="5" width="16.85546875" customWidth="1"/>
    <col min="6" max="6" width="12.85546875" customWidth="1"/>
    <col min="7" max="8" width="6.28515625" customWidth="1"/>
    <col min="9" max="9" width="12.28515625" customWidth="1"/>
    <col min="10" max="10" width="11.5703125" customWidth="1"/>
    <col min="11" max="11" width="14.28515625" customWidth="1"/>
    <col min="12" max="12" width="15.5703125" customWidth="1"/>
    <col min="14" max="14" width="14.28515625" customWidth="1"/>
    <col min="16" max="16" width="14.42578125" customWidth="1"/>
    <col min="18" max="18" width="12" customWidth="1"/>
  </cols>
  <sheetData>
    <row r="1" spans="1:18" ht="21.75" thickBot="1" x14ac:dyDescent="0.4">
      <c r="A1" s="273" t="s">
        <v>231</v>
      </c>
      <c r="B1" s="273"/>
      <c r="C1" s="273"/>
      <c r="D1" s="273"/>
      <c r="E1" s="273"/>
      <c r="F1" s="274"/>
      <c r="G1" s="1"/>
      <c r="H1" s="287" t="s">
        <v>233</v>
      </c>
      <c r="I1" s="288"/>
      <c r="J1" s="288"/>
      <c r="K1" s="289"/>
      <c r="L1" s="98" t="s">
        <v>234</v>
      </c>
      <c r="M1" s="339" t="s">
        <v>105</v>
      </c>
      <c r="N1" s="340"/>
      <c r="O1" s="292" t="s">
        <v>235</v>
      </c>
      <c r="P1" s="293"/>
      <c r="Q1" s="292" t="s">
        <v>251</v>
      </c>
      <c r="R1" s="293"/>
    </row>
    <row r="2" spans="1:18" ht="21.75" thickBot="1" x14ac:dyDescent="0.4">
      <c r="A2" s="283" t="s">
        <v>85</v>
      </c>
      <c r="B2" s="338"/>
      <c r="C2" s="1"/>
      <c r="D2" s="283" t="s">
        <v>40</v>
      </c>
      <c r="E2" s="284"/>
      <c r="F2" s="338"/>
      <c r="G2" s="1"/>
      <c r="H2" s="99" t="s">
        <v>113</v>
      </c>
      <c r="I2" s="19" t="s">
        <v>10</v>
      </c>
      <c r="J2" s="19" t="s">
        <v>83</v>
      </c>
      <c r="K2" s="19" t="s">
        <v>81</v>
      </c>
      <c r="L2" s="34" t="s">
        <v>35</v>
      </c>
      <c r="M2" s="4" t="s">
        <v>66</v>
      </c>
      <c r="N2" s="5" t="s">
        <v>68</v>
      </c>
      <c r="O2" s="4" t="s">
        <v>66</v>
      </c>
      <c r="P2" s="5" t="s">
        <v>68</v>
      </c>
      <c r="Q2" s="4" t="s">
        <v>66</v>
      </c>
      <c r="R2" s="5" t="s">
        <v>68</v>
      </c>
    </row>
    <row r="3" spans="1:18" ht="21.75" thickBot="1" x14ac:dyDescent="0.4">
      <c r="A3" s="37" t="s">
        <v>10</v>
      </c>
      <c r="B3" s="209"/>
      <c r="C3" s="1"/>
      <c r="D3" s="19" t="s">
        <v>86</v>
      </c>
      <c r="E3" s="19" t="s">
        <v>68</v>
      </c>
      <c r="F3" s="19" t="s">
        <v>87</v>
      </c>
      <c r="G3" s="1"/>
      <c r="H3" s="112"/>
      <c r="I3" s="200"/>
      <c r="J3" s="196">
        <f>SUM(I3-25)</f>
        <v>-25</v>
      </c>
      <c r="K3" s="226"/>
      <c r="L3" s="90">
        <v>140</v>
      </c>
      <c r="M3" s="47">
        <f>SUM(P3/L3)</f>
        <v>-0.75</v>
      </c>
      <c r="N3" s="230">
        <f>SUM(K3)</f>
        <v>0</v>
      </c>
      <c r="O3" s="48">
        <v>3</v>
      </c>
      <c r="P3" s="230">
        <f>SUM(J3-80)</f>
        <v>-105</v>
      </c>
      <c r="Q3" s="48">
        <v>2</v>
      </c>
      <c r="R3" s="230">
        <f>SUM(K3)</f>
        <v>0</v>
      </c>
    </row>
    <row r="4" spans="1:18" ht="21" x14ac:dyDescent="0.35">
      <c r="A4" s="11" t="s">
        <v>83</v>
      </c>
      <c r="B4" s="210">
        <f>SUM(B3-25)</f>
        <v>-25</v>
      </c>
      <c r="C4" s="1"/>
      <c r="D4" s="37" t="s">
        <v>212</v>
      </c>
      <c r="E4" s="208">
        <f>IF(B8&lt;4,B5+410,B5+525)</f>
        <v>410</v>
      </c>
      <c r="F4" s="38">
        <v>2</v>
      </c>
      <c r="G4" s="1"/>
    </row>
    <row r="5" spans="1:18" ht="21.75" thickBot="1" x14ac:dyDescent="0.4">
      <c r="A5" s="11" t="s">
        <v>81</v>
      </c>
      <c r="B5" s="211"/>
      <c r="C5" s="1"/>
      <c r="D5" s="11" t="s">
        <v>213</v>
      </c>
      <c r="E5" s="189" cm="1">
        <f t="array" ref="E5">_xlfn.IFS(B6="32NB",(B5-134)/2,B6="40NB",(B5-150)/2,B6="25NB",(B5-108)/2)</f>
        <v>-75</v>
      </c>
      <c r="F5" s="12" cm="1">
        <f t="array" ref="F5">_xlfn.IFS(B4&gt;4500,8,B4&gt;3700,6,B4&gt;2500,4,B4&gt;1300,2,B4&lt;1300,0)</f>
        <v>0</v>
      </c>
    </row>
    <row r="6" spans="1:18" ht="21.75" thickBot="1" x14ac:dyDescent="0.4">
      <c r="A6" s="11" t="s">
        <v>79</v>
      </c>
      <c r="B6" s="82" t="s">
        <v>204</v>
      </c>
      <c r="C6" s="1"/>
      <c r="D6" s="11" t="s">
        <v>214</v>
      </c>
      <c r="E6" s="189" cm="1">
        <f t="array" ref="E6">_xlfn.IFS(B6="32NB",B4-84.8,B6="40NB",B4-96.6,B6="25NB",B4-67.4)</f>
        <v>-121.6</v>
      </c>
      <c r="F6" s="12">
        <f>IF(B5&gt;1500,3,2)</f>
        <v>2</v>
      </c>
      <c r="G6" s="1"/>
      <c r="H6" s="287" t="s">
        <v>250</v>
      </c>
      <c r="I6" s="288"/>
      <c r="J6" s="288"/>
      <c r="K6" s="289"/>
      <c r="L6" s="100"/>
      <c r="M6" s="339" t="s">
        <v>236</v>
      </c>
      <c r="N6" s="340"/>
      <c r="O6" s="292" t="s">
        <v>252</v>
      </c>
      <c r="P6" s="293"/>
      <c r="Q6" s="292" t="s">
        <v>118</v>
      </c>
      <c r="R6" s="293"/>
    </row>
    <row r="7" spans="1:18" ht="21.75" thickBot="1" x14ac:dyDescent="0.4">
      <c r="A7" s="11" t="s">
        <v>80</v>
      </c>
      <c r="B7" s="82" t="s">
        <v>237</v>
      </c>
      <c r="C7" s="1"/>
      <c r="D7" s="13" t="s">
        <v>215</v>
      </c>
      <c r="E7" s="196">
        <f>IF(B8&lt;4,410,525)</f>
        <v>410</v>
      </c>
      <c r="F7" s="6">
        <f>SUM(F5/2)</f>
        <v>0</v>
      </c>
      <c r="G7" s="1"/>
      <c r="H7" s="99" t="s">
        <v>113</v>
      </c>
      <c r="I7" s="19" t="s">
        <v>10</v>
      </c>
      <c r="J7" s="19" t="s">
        <v>83</v>
      </c>
      <c r="K7" s="19" t="s">
        <v>81</v>
      </c>
      <c r="L7" s="34" t="s">
        <v>35</v>
      </c>
      <c r="M7" s="4" t="s">
        <v>66</v>
      </c>
      <c r="N7" s="5" t="s">
        <v>68</v>
      </c>
      <c r="O7" s="4" t="s">
        <v>66</v>
      </c>
      <c r="P7" s="5" t="s">
        <v>68</v>
      </c>
      <c r="Q7" s="4" t="s">
        <v>66</v>
      </c>
      <c r="R7" s="5" t="s">
        <v>68</v>
      </c>
    </row>
    <row r="8" spans="1:18" ht="21.75" thickBot="1" x14ac:dyDescent="0.4">
      <c r="A8" s="13" t="s">
        <v>82</v>
      </c>
      <c r="B8" s="83">
        <v>3</v>
      </c>
      <c r="C8" s="1"/>
      <c r="D8" s="1"/>
      <c r="E8" s="1"/>
      <c r="F8" s="1"/>
      <c r="G8" s="1"/>
      <c r="H8" s="112"/>
      <c r="I8" s="200"/>
      <c r="J8" s="196">
        <f>SUM(I8-25)</f>
        <v>-25</v>
      </c>
      <c r="K8" s="226"/>
      <c r="L8" s="90">
        <v>150</v>
      </c>
      <c r="M8" s="47">
        <f>SUM(P8/L8)</f>
        <v>-0.7</v>
      </c>
      <c r="N8" s="230">
        <f>SUM(K8)</f>
        <v>0</v>
      </c>
      <c r="O8" s="48">
        <v>3</v>
      </c>
      <c r="P8" s="230">
        <f>SUM(J8-80)</f>
        <v>-105</v>
      </c>
      <c r="Q8" s="48">
        <v>2</v>
      </c>
      <c r="R8" s="230">
        <f>SUM(K8)</f>
        <v>0</v>
      </c>
    </row>
    <row r="9" spans="1:18" ht="21" x14ac:dyDescent="0.35">
      <c r="A9" s="1"/>
      <c r="B9" s="1"/>
      <c r="C9" s="1"/>
      <c r="D9" s="1"/>
      <c r="E9" s="1"/>
      <c r="F9" s="1"/>
      <c r="G9" s="1"/>
    </row>
    <row r="10" spans="1:18" ht="21.75" thickBot="1" x14ac:dyDescent="0.4">
      <c r="A10" s="273" t="s">
        <v>232</v>
      </c>
      <c r="B10" s="273"/>
      <c r="C10" s="273"/>
      <c r="D10" s="273"/>
      <c r="E10" s="273"/>
      <c r="F10" s="274"/>
      <c r="G10" s="1"/>
    </row>
    <row r="11" spans="1:18" ht="21.75" thickBot="1" x14ac:dyDescent="0.4">
      <c r="A11" s="129" t="s">
        <v>85</v>
      </c>
      <c r="B11" s="130"/>
      <c r="C11" s="1"/>
      <c r="D11" s="129" t="s">
        <v>40</v>
      </c>
      <c r="E11" s="97"/>
      <c r="F11" s="96"/>
      <c r="G11" s="1"/>
    </row>
    <row r="12" spans="1:18" ht="21.75" thickBot="1" x14ac:dyDescent="0.4">
      <c r="A12" s="37" t="s">
        <v>10</v>
      </c>
      <c r="B12" s="209"/>
      <c r="C12" s="1"/>
      <c r="D12" s="37" t="s">
        <v>86</v>
      </c>
      <c r="E12" s="39" t="s">
        <v>68</v>
      </c>
      <c r="F12" s="38" t="s">
        <v>87</v>
      </c>
      <c r="G12" s="1"/>
    </row>
    <row r="13" spans="1:18" ht="21.75" thickBot="1" x14ac:dyDescent="0.4">
      <c r="A13" s="11" t="s">
        <v>83</v>
      </c>
      <c r="B13" s="210">
        <f>SUM(B12-25)</f>
        <v>-25</v>
      </c>
      <c r="C13" s="1"/>
      <c r="D13" s="229" t="s">
        <v>121</v>
      </c>
      <c r="E13" s="185" cm="1">
        <f t="array" ref="E13">_xlfn.IFS(B15="32NB",(B14*2)+B13-265,B15="40NB",(B14*2)+B13-314,B15="25NB",(B14*2)+B13-200)</f>
        <v>-290</v>
      </c>
      <c r="F13" s="38">
        <v>1</v>
      </c>
      <c r="G13" s="1"/>
    </row>
    <row r="14" spans="1:18" ht="21.75" thickBot="1" x14ac:dyDescent="0.4">
      <c r="A14" s="11" t="s">
        <v>81</v>
      </c>
      <c r="B14" s="211"/>
      <c r="C14" s="1"/>
      <c r="D14" s="7" t="s">
        <v>122</v>
      </c>
      <c r="E14" s="185" cm="1">
        <f t="array" ref="E14">_xlfn.IFS(B15="32NB",B14-65,B15="40NB",B14-78,B15="25NB",B14-50)</f>
        <v>-65</v>
      </c>
      <c r="F14" s="12"/>
      <c r="G14" s="1"/>
    </row>
    <row r="15" spans="1:18" ht="21.75" thickBot="1" x14ac:dyDescent="0.4">
      <c r="A15" s="11" t="s">
        <v>79</v>
      </c>
      <c r="B15" s="82" t="s">
        <v>203</v>
      </c>
      <c r="C15" s="1"/>
      <c r="D15" s="7" t="s">
        <v>123</v>
      </c>
      <c r="E15" s="185" cm="1">
        <f t="array" ref="E15">_xlfn.IFS(B15="32NB",B13-135,B15="40NB",B13-158,B15="25NB",B13-100)</f>
        <v>-160</v>
      </c>
      <c r="F15" s="15"/>
      <c r="G15" s="1"/>
    </row>
    <row r="16" spans="1:18" ht="21.75" thickBot="1" x14ac:dyDescent="0.4">
      <c r="A16" s="13" t="s">
        <v>80</v>
      </c>
      <c r="B16" s="83" t="s">
        <v>237</v>
      </c>
      <c r="C16" s="1"/>
      <c r="D16" s="54" t="s">
        <v>214</v>
      </c>
      <c r="E16" s="189" cm="1">
        <f t="array" ref="E16">_xlfn.IFS(B15="32NB",B13-84.8,B15="40NB",B13-96.6,B15="25NB",B13-67.4)</f>
        <v>-109.8</v>
      </c>
      <c r="F16" s="12">
        <f>IF(B15&gt;1500,2,1)</f>
        <v>2</v>
      </c>
      <c r="G16" s="1"/>
    </row>
    <row r="17" spans="1:14" ht="21.75" thickBot="1" x14ac:dyDescent="0.4">
      <c r="A17" s="54"/>
      <c r="B17" s="101"/>
      <c r="C17" s="1"/>
      <c r="D17" s="13" t="s">
        <v>213</v>
      </c>
      <c r="E17" s="196" cm="1">
        <f t="array" ref="E17">_xlfn.IFS(B15="32NB",(B14-134)/2,B15="40NB",(B14-150)/2,B15="25NB",(B14-108)/2)</f>
        <v>-67</v>
      </c>
      <c r="F17" s="6" cm="1">
        <f t="array" ref="F17">_xlfn.IFS(B13&gt;1300,2,B12&lt;1300,0)</f>
        <v>0</v>
      </c>
      <c r="G17" s="1"/>
    </row>
    <row r="18" spans="1:14" ht="21" x14ac:dyDescent="0.35">
      <c r="G18" s="1"/>
    </row>
    <row r="19" spans="1:14" ht="21" x14ac:dyDescent="0.35">
      <c r="A19" s="1"/>
      <c r="B19" s="1"/>
      <c r="C19" s="1"/>
      <c r="D19" s="56"/>
      <c r="E19" s="56"/>
      <c r="F19" s="1"/>
      <c r="G19" s="1"/>
      <c r="H19" s="1"/>
      <c r="I19" s="1"/>
      <c r="J19" s="1"/>
      <c r="K19" s="1"/>
      <c r="L19" s="1"/>
      <c r="M19" s="307"/>
      <c r="N19" s="307"/>
    </row>
    <row r="20" spans="1:14" ht="21" x14ac:dyDescent="0.35">
      <c r="A20" s="1"/>
      <c r="B20" s="1"/>
      <c r="C20" s="1"/>
      <c r="D20" s="56"/>
      <c r="E20" s="56"/>
      <c r="F20" s="1"/>
      <c r="G20" s="1"/>
      <c r="H20" s="1"/>
      <c r="I20" s="1"/>
      <c r="J20" s="1"/>
      <c r="K20" s="1"/>
      <c r="L20" s="1"/>
      <c r="M20" s="1"/>
      <c r="N20" s="1"/>
    </row>
    <row r="21" spans="1:14" ht="21" x14ac:dyDescent="0.35">
      <c r="A21" s="56"/>
      <c r="B21" s="1"/>
      <c r="C21" s="1"/>
      <c r="D21" s="56"/>
      <c r="E21" s="56"/>
      <c r="F21" s="1"/>
      <c r="G21" s="22"/>
      <c r="H21" s="1"/>
      <c r="I21" s="1"/>
      <c r="J21" s="1"/>
      <c r="K21" s="1"/>
      <c r="L21" s="1"/>
      <c r="M21" s="1"/>
      <c r="N21" s="1"/>
    </row>
    <row r="22" spans="1:14" ht="21" x14ac:dyDescent="0.35">
      <c r="G22" s="1"/>
    </row>
    <row r="23" spans="1:14" ht="21" x14ac:dyDescent="0.35">
      <c r="G23" s="1"/>
    </row>
  </sheetData>
  <mergeCells count="13">
    <mergeCell ref="O6:P6"/>
    <mergeCell ref="Q6:R6"/>
    <mergeCell ref="H1:K1"/>
    <mergeCell ref="M1:N1"/>
    <mergeCell ref="O1:P1"/>
    <mergeCell ref="Q1:R1"/>
    <mergeCell ref="A10:F10"/>
    <mergeCell ref="M19:N19"/>
    <mergeCell ref="H6:K6"/>
    <mergeCell ref="A1:F1"/>
    <mergeCell ref="A2:B2"/>
    <mergeCell ref="D2:F2"/>
    <mergeCell ref="M6:N6"/>
  </mergeCells>
  <dataValidations count="7">
    <dataValidation type="list" allowBlank="1" showInputMessage="1" showErrorMessage="1" sqref="B6 B15" xr:uid="{AA8F0A64-EA19-4274-AF11-CEC88569026C}">
      <formula1>"25nb,32nb,40nb"</formula1>
    </dataValidation>
    <dataValidation type="list" allowBlank="1" showInputMessage="1" showErrorMessage="1" sqref="B7 B16" xr:uid="{6BB247F3-0128-459A-8828-E66702A97617}">
      <formula1>"XL,L,M"</formula1>
    </dataValidation>
    <dataValidation type="list" allowBlank="1" showInputMessage="1" showErrorMessage="1" sqref="B8 B17" xr:uid="{1F391ECB-2491-446F-9A62-C320B965300E}">
      <formula1>"2,3,4"</formula1>
    </dataValidation>
    <dataValidation type="list" allowBlank="1" showInputMessage="1" showErrorMessage="1" sqref="E21" xr:uid="{BC27E8C0-1B75-4EF5-80DF-73391D730D1B}">
      <formula1>"S,D"</formula1>
    </dataValidation>
    <dataValidation type="list" allowBlank="1" showInputMessage="1" showErrorMessage="1" sqref="D21 L3" xr:uid="{2003539B-714F-4562-B8AE-F6BCCF0D24B5}">
      <formula1>"114,125,140"</formula1>
    </dataValidation>
    <dataValidation type="list" allowBlank="1" showInputMessage="1" showErrorMessage="1" sqref="L1" xr:uid="{896E26B2-67E2-446C-A37F-FDFB63F957B2}">
      <formula1>"SPEAR TOP,ROD TOP"</formula1>
    </dataValidation>
    <dataValidation type="list" allowBlank="1" showInputMessage="1" showErrorMessage="1" sqref="L8" xr:uid="{3CDE64D8-A509-4AB0-85CC-D8B4383821C0}">
      <formula1>"150"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HOW TO</vt:lpstr>
      <vt:lpstr>SCHOOL GATE</vt:lpstr>
      <vt:lpstr>m18 act</vt:lpstr>
      <vt:lpstr>chain wire gates </vt:lpstr>
      <vt:lpstr>flat top new</vt:lpstr>
      <vt:lpstr>SLIDING&amp;CANT GATE</vt:lpstr>
      <vt:lpstr>BIG SLIDING&amp;CANT GATES</vt:lpstr>
      <vt:lpstr>TELESCOPIC</vt:lpstr>
      <vt:lpstr>002 EGRESS</vt:lpstr>
      <vt:lpstr>38x25</vt:lpstr>
      <vt:lpstr>colourbond</vt:lpstr>
      <vt:lpstr>358 corro gate</vt:lpstr>
      <vt:lpstr>rms type 5 </vt:lpstr>
      <vt:lpstr>RAKES</vt:lpstr>
      <vt:lpstr>pipe weight </vt:lpstr>
      <vt:lpstr>STOCK TAKE </vt:lpstr>
      <vt:lpstr>pipe pack saw</vt:lpstr>
      <vt:lpstr>interview </vt:lpstr>
      <vt:lpstr>weights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Braithwaite</dc:creator>
  <cp:lastModifiedBy>Kirsty Braithwaite</cp:lastModifiedBy>
  <cp:lastPrinted>2025-01-13T03:24:54Z</cp:lastPrinted>
  <dcterms:created xsi:type="dcterms:W3CDTF">2020-06-17T22:26:24Z</dcterms:created>
  <dcterms:modified xsi:type="dcterms:W3CDTF">2025-02-12T22:45:11Z</dcterms:modified>
</cp:coreProperties>
</file>